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user04\Desktop\"/>
    </mc:Choice>
  </mc:AlternateContent>
  <xr:revisionPtr revIDLastSave="0" documentId="8_{3CA907AB-D8B2-47FE-BDE0-513A446C7070}" xr6:coauthVersionLast="46" xr6:coauthVersionMax="46" xr10:uidLastSave="{00000000-0000-0000-0000-000000000000}"/>
  <bookViews>
    <workbookView xWindow="20370" yWindow="-4755" windowWidth="29040" windowHeight="15840" tabRatio="746" xr2:uid="{00000000-000D-0000-FFFF-FFFF00000000}"/>
  </bookViews>
  <sheets>
    <sheet name="※必ずはじめにお読みください※" sheetId="52" r:id="rId1"/>
    <sheet name="01 使用承認申請書" sheetId="53" r:id="rId2"/>
    <sheet name="02 利用計画書" sheetId="54" r:id="rId3"/>
    <sheet name="03 食事申込書" sheetId="65" r:id="rId4"/>
    <sheet name="04 食物アレルギー確認書" sheetId="56" r:id="rId5"/>
    <sheet name="05 利用者名簿" sheetId="58" r:id="rId6"/>
    <sheet name="06　人数報告用紙" sheetId="2" r:id="rId7"/>
    <sheet name="07 使用料減免申請書" sheetId="66" r:id="rId8"/>
    <sheet name="08 車両動向報告書" sheetId="63" r:id="rId9"/>
    <sheet name="09 利用日変更（取消）報告書" sheetId="62" r:id="rId10"/>
  </sheets>
  <externalReferences>
    <externalReference r:id="rId11"/>
  </externalReferences>
  <definedNames>
    <definedName name="_xlnm._FilterDatabase" localSheetId="1" hidden="1">'01 使用承認申請書'!$A$1:$BB$34</definedName>
    <definedName name="_xlnm.Print_Area" localSheetId="0">※必ずはじめにお読みください※!$A$1:$Z$28</definedName>
    <definedName name="_xlnm.Print_Area" localSheetId="1">'01 使用承認申請書'!$A$1:$AZ$36</definedName>
    <definedName name="_xlnm.Print_Area" localSheetId="2">'02 利用計画書'!$A$1:$BZ$102</definedName>
    <definedName name="_xlnm.Print_Area" localSheetId="3">'03 食事申込書'!$A$1:$AZ$41</definedName>
    <definedName name="_xlnm.Print_Area" localSheetId="4">'04 食物アレルギー確認書'!$A$1:$AY$220</definedName>
    <definedName name="_xlnm.Print_Area" localSheetId="5">'05 利用者名簿'!$A$1:$AZ$162</definedName>
    <definedName name="_xlnm.Print_Area" localSheetId="6">'06　人数報告用紙'!$A$1:$CT$47</definedName>
    <definedName name="_xlnm.Print_Area" localSheetId="7">'07 使用料減免申請書'!$A$1:$AZ$54</definedName>
    <definedName name="_xlnm.Print_Area" localSheetId="8">'08 車両動向報告書'!$A$1:$BL$60</definedName>
    <definedName name="_xlnm.Print_Area" localSheetId="9">'09 利用日変更（取消）報告書'!$A$1:$AZ$29</definedName>
    <definedName name="一">'05 利用者名簿'!$D$252</definedName>
    <definedName name="引">'05 利用者名簿'!$C$252</definedName>
    <definedName name="携帯食">'03 食事申込書'!$BG$89:$BG$100</definedName>
    <definedName name="時機">'03 食事申込書'!$BK$57:$BK$59</definedName>
    <definedName name="小">'05 利用者名簿'!$A$252:$A$276</definedName>
    <definedName name="食事時機">'03 食事申込書'!$BK$57:$BK$59</definedName>
    <definedName name="食堂">'03 食事申込書'!$BG$56:$BG$63</definedName>
    <definedName name="炊事">'03 食事申込書'!$BG$67:$BG$73</definedName>
    <definedName name="中">'05 利用者名簿'!$B$252:$B$276</definedName>
    <definedName name="通常食">'03 食事申込書'!$BG$56:$BG$63</definedName>
    <definedName name="料金区分">'05 利用者名簿'!$A$251:$J$251</definedName>
  </definedNames>
  <calcPr calcId="191029"/>
</workbook>
</file>

<file path=xl/calcChain.xml><?xml version="1.0" encoding="utf-8"?>
<calcChain xmlns="http://schemas.openxmlformats.org/spreadsheetml/2006/main">
  <c r="AU19" i="66" l="1"/>
  <c r="AS19" i="66"/>
  <c r="AO19" i="66"/>
  <c r="AM19" i="66"/>
  <c r="R37" i="66"/>
  <c r="D45" i="66"/>
  <c r="D44" i="66"/>
  <c r="D43" i="66"/>
  <c r="D42" i="66"/>
  <c r="D41" i="66"/>
  <c r="D40" i="66"/>
  <c r="D39" i="66"/>
  <c r="D38" i="66"/>
  <c r="U19" i="66"/>
  <c r="S19" i="66"/>
  <c r="O19" i="66"/>
  <c r="M19" i="66"/>
  <c r="AR41" i="65"/>
  <c r="AR40" i="65"/>
  <c r="AR39" i="65"/>
  <c r="AR38" i="65"/>
  <c r="AR37" i="65"/>
  <c r="AR36" i="65"/>
  <c r="AR35" i="65"/>
  <c r="AR34" i="65"/>
  <c r="AR33" i="65"/>
  <c r="AR32" i="65"/>
  <c r="AR31" i="65"/>
  <c r="AR30" i="65"/>
  <c r="D10" i="53"/>
  <c r="A91" i="54"/>
  <c r="A84" i="54"/>
  <c r="A78" i="54"/>
  <c r="A75" i="54"/>
  <c r="A68" i="54"/>
  <c r="A62" i="54"/>
  <c r="A40" i="54"/>
  <c r="A27" i="54"/>
  <c r="BW5" i="54"/>
  <c r="BW4" i="54"/>
  <c r="BS4" i="54"/>
  <c r="BK4" i="54"/>
  <c r="BE4" i="54"/>
  <c r="A33" i="54" s="1"/>
  <c r="BA4" i="54"/>
  <c r="AU4" i="54"/>
  <c r="A24" i="54" s="1"/>
  <c r="AO4" i="54"/>
  <c r="A17" i="54" s="1"/>
  <c r="AK4" i="54"/>
  <c r="A11" i="54" s="1"/>
  <c r="AE4" i="54"/>
  <c r="H4" i="54"/>
  <c r="BO46" i="2"/>
  <c r="BM46" i="2"/>
  <c r="BL46" i="2"/>
  <c r="BK46" i="2"/>
  <c r="BJ46" i="2"/>
  <c r="BI46" i="2"/>
  <c r="BG46" i="2"/>
  <c r="BF45" i="2"/>
  <c r="BQ45" i="2" s="1"/>
  <c r="BF44" i="2"/>
  <c r="BF43" i="2"/>
  <c r="BQ43" i="2" s="1"/>
  <c r="BF42" i="2"/>
  <c r="BQ42" i="2" s="1"/>
  <c r="BF41" i="2"/>
  <c r="BQ41" i="2" s="1"/>
  <c r="BF40" i="2"/>
  <c r="BF39" i="2"/>
  <c r="BQ39" i="2" s="1"/>
  <c r="BF38" i="2"/>
  <c r="BF37" i="2"/>
  <c r="BF36" i="2"/>
  <c r="BF35" i="2"/>
  <c r="BQ35" i="2" s="1"/>
  <c r="CT34" i="2"/>
  <c r="BF34" i="2"/>
  <c r="BQ34" i="2" s="1"/>
  <c r="CB33" i="2"/>
  <c r="CT33" i="2" s="1"/>
  <c r="BF33" i="2"/>
  <c r="BQ33" i="2" s="1"/>
  <c r="BF32" i="2"/>
  <c r="BQ32" i="2" s="1"/>
  <c r="CB31" i="2"/>
  <c r="CT31" i="2" s="1"/>
  <c r="BF31" i="2"/>
  <c r="BQ31" i="2" s="1"/>
  <c r="BF30" i="2"/>
  <c r="BS31" i="2" s="1"/>
  <c r="CB29" i="2"/>
  <c r="CT29" i="2" s="1"/>
  <c r="BF28" i="2"/>
  <c r="CB27" i="2"/>
  <c r="CT27" i="2" s="1"/>
  <c r="BF27" i="2"/>
  <c r="BE27" i="2"/>
  <c r="BF26" i="2"/>
  <c r="BE26" i="2"/>
  <c r="CB25" i="2"/>
  <c r="CT25" i="2" s="1"/>
  <c r="BF25" i="2"/>
  <c r="BE25" i="2"/>
  <c r="CB24" i="2"/>
  <c r="CA24" i="2"/>
  <c r="BF24" i="2"/>
  <c r="BE24" i="2"/>
  <c r="CB23" i="2"/>
  <c r="CA23" i="2"/>
  <c r="BF23" i="2"/>
  <c r="CB22" i="2"/>
  <c r="CB20" i="2"/>
  <c r="BX20" i="2"/>
  <c r="CA20" i="2" s="1"/>
  <c r="CT20" i="2" s="1"/>
  <c r="BW20" i="2"/>
  <c r="BV20" i="2"/>
  <c r="CB19" i="2"/>
  <c r="BX19" i="2"/>
  <c r="CA19" i="2" s="1"/>
  <c r="BW19" i="2"/>
  <c r="BV19" i="2"/>
  <c r="CB18" i="2"/>
  <c r="BX18" i="2"/>
  <c r="CA18" i="2" s="1"/>
  <c r="BW18" i="2"/>
  <c r="BV18" i="2"/>
  <c r="CB17" i="2"/>
  <c r="BX17" i="2"/>
  <c r="CA17" i="2" s="1"/>
  <c r="BW17" i="2"/>
  <c r="BV17" i="2"/>
  <c r="CB16" i="2"/>
  <c r="BX16" i="2"/>
  <c r="CA16" i="2" s="1"/>
  <c r="CT16" i="2" s="1"/>
  <c r="BW16" i="2"/>
  <c r="BV16" i="2"/>
  <c r="CB15" i="2"/>
  <c r="BX15" i="2"/>
  <c r="CA15" i="2" s="1"/>
  <c r="CT15" i="2" s="1"/>
  <c r="BW15" i="2"/>
  <c r="BV15" i="2"/>
  <c r="CB14" i="2"/>
  <c r="CA14" i="2"/>
  <c r="BX14" i="2"/>
  <c r="BW14" i="2"/>
  <c r="BV14" i="2"/>
  <c r="CT13" i="2"/>
  <c r="BW13" i="2"/>
  <c r="BV13" i="2"/>
  <c r="CT12" i="2"/>
  <c r="BW12" i="2"/>
  <c r="BV12" i="2"/>
  <c r="CT11" i="2"/>
  <c r="BW11" i="2"/>
  <c r="BV11" i="2"/>
  <c r="CT10" i="2"/>
  <c r="BW10" i="2"/>
  <c r="BV10" i="2"/>
  <c r="CT9" i="2"/>
  <c r="BW9" i="2"/>
  <c r="BV9" i="2"/>
  <c r="CT8" i="2"/>
  <c r="BW8" i="2"/>
  <c r="BV8" i="2"/>
  <c r="CT7" i="2"/>
  <c r="BW7" i="2"/>
  <c r="BV7" i="2"/>
  <c r="CT6" i="2"/>
  <c r="BW6" i="2"/>
  <c r="BV6" i="2"/>
  <c r="CT5" i="2"/>
  <c r="BJ4" i="2"/>
  <c r="BE4" i="2"/>
  <c r="BB4" i="2"/>
  <c r="CT17" i="2" l="1"/>
  <c r="BO29" i="2"/>
  <c r="BQ24" i="2"/>
  <c r="CT21" i="2"/>
  <c r="CT18" i="2"/>
  <c r="CT24" i="2"/>
  <c r="BF29" i="2"/>
  <c r="BQ25" i="2"/>
  <c r="CT19" i="2"/>
  <c r="CT23" i="2"/>
  <c r="BK29" i="2"/>
  <c r="BQ26" i="2"/>
  <c r="BF46" i="2"/>
  <c r="CF21" i="2"/>
  <c r="CT14" i="2"/>
  <c r="BQ27" i="2"/>
  <c r="H40" i="66"/>
  <c r="V35" i="66" s="1"/>
  <c r="H41" i="66"/>
  <c r="V36" i="66" s="1"/>
  <c r="H38" i="66"/>
  <c r="V34" i="66" s="1"/>
  <c r="H42" i="66"/>
  <c r="V32" i="66" s="1"/>
  <c r="H39" i="66"/>
  <c r="V33" i="66" s="1"/>
  <c r="H43" i="66"/>
  <c r="V31" i="66" s="1"/>
  <c r="CC21" i="2"/>
  <c r="BL29" i="2"/>
  <c r="BG29" i="2"/>
  <c r="BJ29" i="2"/>
  <c r="CT22" i="2"/>
  <c r="CT35" i="2" s="1"/>
  <c r="BM29" i="2"/>
  <c r="BQ37" i="2"/>
  <c r="BQ46" i="2" s="1"/>
  <c r="BQ23" i="2"/>
  <c r="BQ29" i="2" s="1"/>
  <c r="BI29" i="2"/>
  <c r="CC36" i="2" l="1"/>
  <c r="CC37" i="2" s="1"/>
  <c r="CF36" i="2"/>
  <c r="CF37" i="2" s="1"/>
  <c r="I45" i="2" l="1"/>
  <c r="BG111" i="65"/>
  <c r="BD111" i="65"/>
  <c r="BG107" i="65"/>
  <c r="BD107" i="65"/>
  <c r="R46" i="2"/>
  <c r="P46" i="2"/>
  <c r="M46" i="2"/>
  <c r="N46" i="2"/>
  <c r="O46" i="2"/>
  <c r="L46" i="2"/>
  <c r="J46" i="2"/>
  <c r="B10" i="63"/>
  <c r="I44" i="2"/>
  <c r="I43" i="2"/>
  <c r="I42" i="2"/>
  <c r="T42" i="2" s="1"/>
  <c r="I41" i="2"/>
  <c r="T41" i="2" s="1"/>
  <c r="I40" i="2"/>
  <c r="I39" i="2"/>
  <c r="T39" i="2" s="1"/>
  <c r="I38" i="2"/>
  <c r="I34" i="2"/>
  <c r="T34" i="2" s="1"/>
  <c r="I35" i="2"/>
  <c r="T35" i="2" s="1"/>
  <c r="I36" i="2"/>
  <c r="I37" i="2"/>
  <c r="I28" i="2"/>
  <c r="I27" i="2"/>
  <c r="H27" i="2"/>
  <c r="H26" i="2"/>
  <c r="H25" i="2"/>
  <c r="H24" i="2"/>
  <c r="I33" i="2"/>
  <c r="T33" i="2" s="1"/>
  <c r="I32" i="2"/>
  <c r="T32" i="2" s="1"/>
  <c r="I31" i="2"/>
  <c r="I30" i="2"/>
  <c r="I26" i="2"/>
  <c r="I25" i="2"/>
  <c r="I24" i="2"/>
  <c r="I23" i="2"/>
  <c r="AI23" i="58"/>
  <c r="AH23" i="58"/>
  <c r="AY6" i="58"/>
  <c r="AY5" i="58"/>
  <c r="AW5" i="58"/>
  <c r="AS5" i="58"/>
  <c r="AP5" i="58"/>
  <c r="AN5" i="58"/>
  <c r="AK5" i="58"/>
  <c r="AH5" i="58"/>
  <c r="AF5" i="58"/>
  <c r="AC5" i="58"/>
  <c r="AC4" i="58"/>
  <c r="AR3" i="58"/>
  <c r="AQ3" i="58"/>
  <c r="AP3" i="58"/>
  <c r="AO3" i="58"/>
  <c r="AN3" i="58"/>
  <c r="AM3" i="58"/>
  <c r="AL3" i="58"/>
  <c r="AK3" i="58"/>
  <c r="AJ3" i="58"/>
  <c r="AI3" i="58"/>
  <c r="AH3" i="58"/>
  <c r="AG3" i="58"/>
  <c r="AF3" i="58"/>
  <c r="AE3" i="58"/>
  <c r="AD3" i="58"/>
  <c r="AC3" i="58"/>
  <c r="AB3" i="58"/>
  <c r="AA3" i="58"/>
  <c r="AR2" i="58"/>
  <c r="AQ2" i="58"/>
  <c r="AP2" i="58"/>
  <c r="AO2" i="58"/>
  <c r="AN2" i="58"/>
  <c r="AM2" i="58"/>
  <c r="AL2" i="58"/>
  <c r="AK2" i="58"/>
  <c r="AJ2" i="58"/>
  <c r="AI2" i="58"/>
  <c r="AH2" i="58"/>
  <c r="AG2" i="58"/>
  <c r="AF2" i="58"/>
  <c r="AE2" i="58"/>
  <c r="AD2" i="58"/>
  <c r="AC2" i="58"/>
  <c r="AB2" i="58"/>
  <c r="AA2" i="58"/>
  <c r="BG12" i="58"/>
  <c r="R184" i="56"/>
  <c r="M184" i="56"/>
  <c r="H184" i="56"/>
  <c r="C184" i="56"/>
  <c r="W178" i="56"/>
  <c r="W177" i="56"/>
  <c r="U177" i="56"/>
  <c r="R177" i="56"/>
  <c r="O177" i="56"/>
  <c r="M177" i="56"/>
  <c r="J177" i="56"/>
  <c r="G177" i="56"/>
  <c r="E177" i="56"/>
  <c r="C177" i="56"/>
  <c r="C176" i="56"/>
  <c r="R129" i="56"/>
  <c r="M129" i="56"/>
  <c r="H129" i="56"/>
  <c r="C129" i="56"/>
  <c r="W123" i="56"/>
  <c r="W122" i="56"/>
  <c r="U122" i="56"/>
  <c r="R122" i="56"/>
  <c r="O122" i="56"/>
  <c r="M122" i="56"/>
  <c r="J122" i="56"/>
  <c r="G122" i="56"/>
  <c r="E122" i="56"/>
  <c r="C122" i="56"/>
  <c r="C121" i="56"/>
  <c r="R74" i="56"/>
  <c r="M74" i="56"/>
  <c r="H74" i="56"/>
  <c r="C74" i="56"/>
  <c r="W68" i="56"/>
  <c r="W67" i="56"/>
  <c r="U67" i="56"/>
  <c r="R67" i="56"/>
  <c r="O67" i="56"/>
  <c r="M67" i="56"/>
  <c r="J67" i="56"/>
  <c r="G67" i="56"/>
  <c r="E67" i="56"/>
  <c r="C67" i="56"/>
  <c r="C66" i="56"/>
  <c r="E7" i="53"/>
  <c r="BD114" i="65"/>
  <c r="BE114" i="65" s="1"/>
  <c r="J29" i="2" l="1"/>
  <c r="T26" i="2"/>
  <c r="M29" i="2"/>
  <c r="I29" i="2"/>
  <c r="L29" i="2"/>
  <c r="I46" i="2"/>
  <c r="T46" i="2"/>
  <c r="T43" i="2"/>
  <c r="O29" i="2"/>
  <c r="N29" i="2"/>
  <c r="P29" i="2"/>
  <c r="R29" i="2"/>
  <c r="AS3" i="58"/>
  <c r="AS2" i="58"/>
  <c r="T27" i="2"/>
  <c r="BF114" i="65"/>
  <c r="AE27" i="2"/>
  <c r="AE25" i="2"/>
  <c r="CE16" i="58"/>
  <c r="CE33" i="58"/>
  <c r="CE59" i="58"/>
  <c r="CE85" i="58"/>
  <c r="BV14" i="58"/>
  <c r="CE56" i="58" s="1"/>
  <c r="BR15" i="58"/>
  <c r="BQ15" i="58"/>
  <c r="BP15" i="58"/>
  <c r="BO15" i="58"/>
  <c r="BN15" i="58"/>
  <c r="BM15" i="58"/>
  <c r="BL15" i="58"/>
  <c r="BK15" i="58"/>
  <c r="BJ15" i="58"/>
  <c r="BI15" i="58"/>
  <c r="BH15" i="58"/>
  <c r="BG22" i="58"/>
  <c r="BG15" i="58"/>
  <c r="BB54" i="58"/>
  <c r="C4" i="58"/>
  <c r="C11" i="56"/>
  <c r="C5" i="58"/>
  <c r="AE33" i="2"/>
  <c r="AW33" i="2" s="1"/>
  <c r="AE31" i="2"/>
  <c r="AI19" i="56"/>
  <c r="AD19" i="56"/>
  <c r="E8" i="53"/>
  <c r="AA31" i="65"/>
  <c r="AX15" i="65"/>
  <c r="AU15" i="65"/>
  <c r="AY8" i="65"/>
  <c r="AY7" i="65"/>
  <c r="AW7" i="65"/>
  <c r="AS7" i="65"/>
  <c r="AP7" i="65"/>
  <c r="AN7" i="65"/>
  <c r="AK7" i="65"/>
  <c r="AH7" i="65"/>
  <c r="AF7" i="65"/>
  <c r="AD7" i="65"/>
  <c r="AD6" i="65"/>
  <c r="R30" i="65"/>
  <c r="BG106" i="65" s="1"/>
  <c r="R31" i="65"/>
  <c r="BG110" i="65" s="1"/>
  <c r="R32" i="65"/>
  <c r="BG114" i="65" s="1"/>
  <c r="R33" i="65"/>
  <c r="BG118" i="65" s="1"/>
  <c r="R34" i="65"/>
  <c r="BG153" i="65"/>
  <c r="BG152" i="65"/>
  <c r="BG151" i="65"/>
  <c r="BG149" i="65"/>
  <c r="BG148" i="65"/>
  <c r="BG147" i="65"/>
  <c r="BG145" i="65"/>
  <c r="BG144" i="65"/>
  <c r="BG143" i="65"/>
  <c r="BG141" i="65"/>
  <c r="BG140" i="65"/>
  <c r="BG139" i="65"/>
  <c r="BG137" i="65"/>
  <c r="BG136" i="65"/>
  <c r="BG135" i="65"/>
  <c r="BG133" i="65"/>
  <c r="BG132" i="65"/>
  <c r="BG131" i="65"/>
  <c r="BG129" i="65"/>
  <c r="BG128" i="65"/>
  <c r="BG127" i="65"/>
  <c r="BG125" i="65"/>
  <c r="BG124" i="65"/>
  <c r="BG123" i="65"/>
  <c r="BG122" i="65"/>
  <c r="BG121" i="65"/>
  <c r="BG120" i="65"/>
  <c r="BG119" i="65"/>
  <c r="BG117" i="65"/>
  <c r="BG116" i="65"/>
  <c r="BG115" i="65"/>
  <c r="BG108" i="65"/>
  <c r="BG109" i="65"/>
  <c r="BG113" i="65"/>
  <c r="BG112" i="65"/>
  <c r="BD153" i="65"/>
  <c r="BD152" i="65"/>
  <c r="BD151" i="65"/>
  <c r="BD150" i="65"/>
  <c r="BD149" i="65"/>
  <c r="BD148" i="65"/>
  <c r="BD147" i="65"/>
  <c r="BD146" i="65"/>
  <c r="BD145" i="65"/>
  <c r="BD144" i="65"/>
  <c r="BD143" i="65"/>
  <c r="BD142" i="65"/>
  <c r="BD141" i="65"/>
  <c r="BD140" i="65"/>
  <c r="BD139" i="65"/>
  <c r="BD138" i="65"/>
  <c r="BD137" i="65"/>
  <c r="BD136" i="65"/>
  <c r="BD135" i="65"/>
  <c r="BD134" i="65"/>
  <c r="BD133" i="65"/>
  <c r="BD132" i="65"/>
  <c r="BD131" i="65"/>
  <c r="BD130" i="65"/>
  <c r="BD129" i="65"/>
  <c r="BD128" i="65"/>
  <c r="BD127" i="65"/>
  <c r="BD126" i="65"/>
  <c r="BD125" i="65"/>
  <c r="BD124" i="65"/>
  <c r="BD123" i="65"/>
  <c r="BD122" i="65"/>
  <c r="BD121" i="65"/>
  <c r="BD120" i="65"/>
  <c r="BD119" i="65"/>
  <c r="BD118" i="65"/>
  <c r="BD117" i="65"/>
  <c r="BD115" i="65"/>
  <c r="BD113" i="65"/>
  <c r="BD112" i="65"/>
  <c r="BD116" i="65"/>
  <c r="BD110" i="65"/>
  <c r="BE110" i="65" s="1"/>
  <c r="BD109" i="65"/>
  <c r="BD108" i="65"/>
  <c r="BD106" i="65"/>
  <c r="AZ38" i="63"/>
  <c r="AY10" i="63"/>
  <c r="AE11" i="63"/>
  <c r="AE37" i="63" s="1"/>
  <c r="AA10" i="63"/>
  <c r="AA36" i="63" s="1"/>
  <c r="AB11" i="63"/>
  <c r="AB37" i="63" s="1"/>
  <c r="Z11" i="63"/>
  <c r="Z37" i="63" s="1"/>
  <c r="X10" i="63"/>
  <c r="X36" i="63" s="1"/>
  <c r="V10" i="63"/>
  <c r="V36" i="63" s="1"/>
  <c r="T10" i="63"/>
  <c r="X11" i="63" s="1"/>
  <c r="AW52" i="66"/>
  <c r="AL52" i="66" s="1"/>
  <c r="AW50" i="66"/>
  <c r="AR50" i="66" s="1"/>
  <c r="AW48" i="66"/>
  <c r="AR48" i="66" s="1"/>
  <c r="AW46" i="66"/>
  <c r="AR46" i="66" s="1"/>
  <c r="AV36" i="66"/>
  <c r="Y5" i="58" l="1"/>
  <c r="BF110" i="65"/>
  <c r="AL50" i="66"/>
  <c r="AL48" i="66"/>
  <c r="AR52" i="66"/>
  <c r="BC37" i="63"/>
  <c r="X37" i="63"/>
  <c r="BC11" i="63"/>
  <c r="T36" i="63"/>
  <c r="AY36" i="63"/>
  <c r="AR37" i="66"/>
  <c r="AL46" i="66"/>
  <c r="R4" i="2" l="1"/>
  <c r="E4" i="2"/>
  <c r="P1" i="2" l="1"/>
  <c r="D9" i="53"/>
  <c r="R8" i="53" l="1"/>
  <c r="W5" i="58"/>
  <c r="W7" i="65"/>
  <c r="U12" i="56"/>
  <c r="N13" i="66" l="1"/>
  <c r="P13" i="62"/>
  <c r="BN76" i="58"/>
  <c r="BN75" i="58"/>
  <c r="BN74" i="58"/>
  <c r="BN73" i="58"/>
  <c r="BN72" i="58"/>
  <c r="BN71" i="58"/>
  <c r="BN70" i="58"/>
  <c r="BN69" i="58"/>
  <c r="BN68" i="58"/>
  <c r="BN67" i="58"/>
  <c r="BN66" i="58"/>
  <c r="BN65" i="58"/>
  <c r="BM76" i="58"/>
  <c r="BM75" i="58"/>
  <c r="BM74" i="58"/>
  <c r="BM73" i="58"/>
  <c r="BM72" i="58"/>
  <c r="BM71" i="58"/>
  <c r="BM70" i="58"/>
  <c r="BM69" i="58"/>
  <c r="BM68" i="58"/>
  <c r="BM67" i="58"/>
  <c r="BM66" i="58"/>
  <c r="BM65" i="58"/>
  <c r="BL76" i="58"/>
  <c r="BL75" i="58"/>
  <c r="BL74" i="58"/>
  <c r="BL73" i="58"/>
  <c r="BL72" i="58"/>
  <c r="BL71" i="58"/>
  <c r="BL70" i="58"/>
  <c r="BL69" i="58"/>
  <c r="BL68" i="58"/>
  <c r="BL67" i="58"/>
  <c r="BL66" i="58"/>
  <c r="BL65" i="58"/>
  <c r="BK76" i="58"/>
  <c r="BK75" i="58"/>
  <c r="BK74" i="58"/>
  <c r="BK73" i="58"/>
  <c r="BK72" i="58"/>
  <c r="BK71" i="58"/>
  <c r="BK70" i="58"/>
  <c r="BK69" i="58"/>
  <c r="BK68" i="58"/>
  <c r="BK67" i="58"/>
  <c r="BK66" i="58"/>
  <c r="BK65" i="58"/>
  <c r="BJ76" i="58"/>
  <c r="BJ75" i="58"/>
  <c r="BJ74" i="58"/>
  <c r="BJ73" i="58"/>
  <c r="BJ72" i="58"/>
  <c r="BJ71" i="58"/>
  <c r="BJ70" i="58"/>
  <c r="BJ69" i="58"/>
  <c r="BJ68" i="58"/>
  <c r="BJ67" i="58"/>
  <c r="BJ66" i="58"/>
  <c r="BJ65" i="58"/>
  <c r="BI76" i="58"/>
  <c r="BI75" i="58"/>
  <c r="BI74" i="58"/>
  <c r="BI73" i="58"/>
  <c r="BI72" i="58"/>
  <c r="BI71" i="58"/>
  <c r="BI70" i="58"/>
  <c r="BI69" i="58"/>
  <c r="BI68" i="58"/>
  <c r="BI67" i="58"/>
  <c r="BI66" i="58"/>
  <c r="BI65" i="58"/>
  <c r="BH76" i="58"/>
  <c r="BH75" i="58"/>
  <c r="BH74" i="58"/>
  <c r="BH73" i="58"/>
  <c r="BH70" i="58"/>
  <c r="BH72" i="58"/>
  <c r="BH71" i="58"/>
  <c r="BH69" i="58"/>
  <c r="BH68" i="58"/>
  <c r="BH67" i="58"/>
  <c r="BH66" i="58"/>
  <c r="BH65" i="58"/>
  <c r="I23" i="58"/>
  <c r="BG76" i="58"/>
  <c r="BG75" i="58"/>
  <c r="BG74" i="58"/>
  <c r="BG73" i="58"/>
  <c r="BG72" i="58"/>
  <c r="BG71" i="58"/>
  <c r="BG70" i="58"/>
  <c r="BG69" i="58"/>
  <c r="BG68" i="58"/>
  <c r="BG67" i="58"/>
  <c r="BG66" i="58"/>
  <c r="BG65" i="58"/>
  <c r="BU28" i="58"/>
  <c r="CE53" i="58" s="1"/>
  <c r="CD85" i="58"/>
  <c r="CD59" i="58"/>
  <c r="CD33" i="58"/>
  <c r="CD16" i="58"/>
  <c r="BF51" i="2"/>
  <c r="BF52" i="2"/>
  <c r="CC109" i="58"/>
  <c r="CC108" i="58"/>
  <c r="CC107" i="58"/>
  <c r="CC106" i="58"/>
  <c r="CC99" i="58"/>
  <c r="CC100" i="58"/>
  <c r="CC101" i="58"/>
  <c r="CC102" i="58"/>
  <c r="CC103" i="58"/>
  <c r="CC104" i="58"/>
  <c r="CC105" i="58"/>
  <c r="CC81" i="58"/>
  <c r="CC82" i="58"/>
  <c r="CC83" i="58"/>
  <c r="CC84" i="58"/>
  <c r="CC85" i="58"/>
  <c r="CC86" i="58"/>
  <c r="CC87" i="58"/>
  <c r="CC88" i="58"/>
  <c r="CC89" i="58"/>
  <c r="CC90" i="58"/>
  <c r="CC91" i="58"/>
  <c r="CC92" i="58"/>
  <c r="CC93" i="58"/>
  <c r="CC94" i="58"/>
  <c r="CC95" i="58"/>
  <c r="CC96" i="58"/>
  <c r="CC97" i="58"/>
  <c r="CC98" i="58"/>
  <c r="CC80" i="58"/>
  <c r="CC78" i="58"/>
  <c r="CC79" i="58"/>
  <c r="CC76" i="58"/>
  <c r="CC77" i="58"/>
  <c r="CC72" i="58"/>
  <c r="CC73" i="58"/>
  <c r="CC74" i="58"/>
  <c r="CC75" i="58"/>
  <c r="CC71" i="58"/>
  <c r="CC55" i="58"/>
  <c r="CC56" i="58"/>
  <c r="CC57" i="58"/>
  <c r="CC58" i="58"/>
  <c r="CC59" i="58"/>
  <c r="CC60" i="58"/>
  <c r="CC61" i="58"/>
  <c r="CC62" i="58"/>
  <c r="CC63" i="58"/>
  <c r="CC64" i="58"/>
  <c r="CC65" i="58"/>
  <c r="CC66" i="58"/>
  <c r="CC67" i="58"/>
  <c r="CC68" i="58"/>
  <c r="CC69" i="58"/>
  <c r="CC70" i="58"/>
  <c r="CC54" i="58"/>
  <c r="CC51" i="58"/>
  <c r="CC52" i="58"/>
  <c r="CC53" i="58"/>
  <c r="CC42" i="58"/>
  <c r="CC43" i="58"/>
  <c r="CC44" i="58"/>
  <c r="CC45" i="58"/>
  <c r="CC46" i="58"/>
  <c r="CC47" i="58"/>
  <c r="CC48" i="58"/>
  <c r="CC49" i="58"/>
  <c r="CC50" i="58"/>
  <c r="CC29" i="58"/>
  <c r="CC30" i="58"/>
  <c r="CC31" i="58"/>
  <c r="CC32" i="58"/>
  <c r="CC33" i="58"/>
  <c r="CC34" i="58"/>
  <c r="CC35" i="58"/>
  <c r="CC36" i="58"/>
  <c r="CC37" i="58"/>
  <c r="CC38" i="58"/>
  <c r="CC39" i="58"/>
  <c r="CC40" i="58"/>
  <c r="CC41" i="58"/>
  <c r="CC28" i="58"/>
  <c r="CC13" i="58"/>
  <c r="CC14" i="58"/>
  <c r="CC15" i="58"/>
  <c r="CC16" i="58"/>
  <c r="CC17" i="58"/>
  <c r="CC18" i="58"/>
  <c r="CC19" i="58"/>
  <c r="CC20" i="58"/>
  <c r="CC21" i="58"/>
  <c r="CC22" i="58"/>
  <c r="CC23" i="58"/>
  <c r="CC24" i="58"/>
  <c r="CC25" i="58"/>
  <c r="CC26" i="58"/>
  <c r="CC12" i="58"/>
  <c r="CC11" i="58"/>
  <c r="BL77" i="58" l="1"/>
  <c r="BG77" i="58"/>
  <c r="BH77" i="58"/>
  <c r="BI77" i="58"/>
  <c r="BJ77" i="58"/>
  <c r="BK77" i="58"/>
  <c r="BM77" i="58"/>
  <c r="BN77" i="58"/>
  <c r="BW38" i="58"/>
  <c r="BV38" i="58"/>
  <c r="BU38" i="58"/>
  <c r="BT38" i="58"/>
  <c r="AW34" i="2" l="1"/>
  <c r="BS4" i="58"/>
  <c r="BQ32" i="58"/>
  <c r="BQ33" i="58"/>
  <c r="BQ34" i="58"/>
  <c r="BQ35" i="58"/>
  <c r="BQ36" i="58"/>
  <c r="BQ37" i="58"/>
  <c r="BQ38" i="58"/>
  <c r="BQ39" i="58"/>
  <c r="BQ40" i="58"/>
  <c r="BQ41" i="58"/>
  <c r="BQ42" i="58"/>
  <c r="BQ43" i="58"/>
  <c r="BQ44" i="58"/>
  <c r="BQ45" i="58"/>
  <c r="BQ46" i="58"/>
  <c r="BQ47" i="58"/>
  <c r="BQ48" i="58"/>
  <c r="BQ49" i="58"/>
  <c r="BQ50" i="58"/>
  <c r="BQ51" i="58"/>
  <c r="BQ52" i="58"/>
  <c r="BQ53" i="58"/>
  <c r="BQ54" i="58"/>
  <c r="BQ55" i="58"/>
  <c r="BQ56" i="58"/>
  <c r="BQ57" i="58"/>
  <c r="BQ58" i="58"/>
  <c r="BQ59" i="58"/>
  <c r="BQ60" i="58"/>
  <c r="BQ31" i="58"/>
  <c r="BP32" i="58"/>
  <c r="BP33" i="58"/>
  <c r="BP34" i="58"/>
  <c r="BP35" i="58"/>
  <c r="BP36" i="58"/>
  <c r="BP37" i="58"/>
  <c r="BP38" i="58"/>
  <c r="BP39" i="58"/>
  <c r="BP40" i="58"/>
  <c r="BP41" i="58"/>
  <c r="BP42" i="58"/>
  <c r="BP43" i="58"/>
  <c r="BP44" i="58"/>
  <c r="BP45" i="58"/>
  <c r="BP46" i="58"/>
  <c r="BP47" i="58"/>
  <c r="BP48" i="58"/>
  <c r="BP49" i="58"/>
  <c r="BP50" i="58"/>
  <c r="BP51" i="58"/>
  <c r="BP52" i="58"/>
  <c r="BP53" i="58"/>
  <c r="BP54" i="58"/>
  <c r="BP55" i="58"/>
  <c r="BP56" i="58"/>
  <c r="BP57" i="58"/>
  <c r="BP58" i="58"/>
  <c r="BP59" i="58"/>
  <c r="BP60" i="58"/>
  <c r="BP31" i="58"/>
  <c r="BO32" i="58"/>
  <c r="BO33" i="58"/>
  <c r="BO34" i="58"/>
  <c r="BO35" i="58"/>
  <c r="BO36" i="58"/>
  <c r="BO37" i="58"/>
  <c r="BO38" i="58"/>
  <c r="BO39" i="58"/>
  <c r="BO40" i="58"/>
  <c r="BO41" i="58"/>
  <c r="BO42" i="58"/>
  <c r="BO43" i="58"/>
  <c r="BO44" i="58"/>
  <c r="BO45" i="58"/>
  <c r="BO46" i="58"/>
  <c r="BO47" i="58"/>
  <c r="BO48" i="58"/>
  <c r="BO49" i="58"/>
  <c r="BO50" i="58"/>
  <c r="BO51" i="58"/>
  <c r="BO52" i="58"/>
  <c r="BO53" i="58"/>
  <c r="BO54" i="58"/>
  <c r="BO55" i="58"/>
  <c r="BO56" i="58"/>
  <c r="BO57" i="58"/>
  <c r="BO58" i="58"/>
  <c r="BO59" i="58"/>
  <c r="BO60" i="58"/>
  <c r="BO31" i="58"/>
  <c r="BN32" i="58"/>
  <c r="BN33" i="58"/>
  <c r="BN34" i="58"/>
  <c r="BN35" i="58"/>
  <c r="BN36" i="58"/>
  <c r="BN37" i="58"/>
  <c r="BN38" i="58"/>
  <c r="BN39" i="58"/>
  <c r="BN40" i="58"/>
  <c r="BN41" i="58"/>
  <c r="BN42" i="58"/>
  <c r="BN43" i="58"/>
  <c r="BN44" i="58"/>
  <c r="BN45" i="58"/>
  <c r="BN46" i="58"/>
  <c r="BN47" i="58"/>
  <c r="BN48" i="58"/>
  <c r="BN49" i="58"/>
  <c r="BN50" i="58"/>
  <c r="BN51" i="58"/>
  <c r="BN52" i="58"/>
  <c r="BN53" i="58"/>
  <c r="BN54" i="58"/>
  <c r="BN55" i="58"/>
  <c r="BN56" i="58"/>
  <c r="BN57" i="58"/>
  <c r="BN58" i="58"/>
  <c r="BN59" i="58"/>
  <c r="BN60" i="58"/>
  <c r="BN31" i="58"/>
  <c r="BM32" i="58"/>
  <c r="BM33" i="58"/>
  <c r="BM34" i="58"/>
  <c r="BM35" i="58"/>
  <c r="BM36" i="58"/>
  <c r="BM37" i="58"/>
  <c r="BM38" i="58"/>
  <c r="BM39" i="58"/>
  <c r="BM40" i="58"/>
  <c r="BM41" i="58"/>
  <c r="BM42" i="58"/>
  <c r="BM43" i="58"/>
  <c r="BM44" i="58"/>
  <c r="BM45" i="58"/>
  <c r="BM46" i="58"/>
  <c r="BM47" i="58"/>
  <c r="BM48" i="58"/>
  <c r="BM49" i="58"/>
  <c r="BM50" i="58"/>
  <c r="BM51" i="58"/>
  <c r="BM52" i="58"/>
  <c r="BM53" i="58"/>
  <c r="BM54" i="58"/>
  <c r="BM55" i="58"/>
  <c r="BM56" i="58"/>
  <c r="BM57" i="58"/>
  <c r="BM58" i="58"/>
  <c r="BM59" i="58"/>
  <c r="BM60" i="58"/>
  <c r="BM31" i="58"/>
  <c r="BL32" i="58"/>
  <c r="BL33" i="58"/>
  <c r="BL34" i="58"/>
  <c r="BL35" i="58"/>
  <c r="BL36" i="58"/>
  <c r="BL37" i="58"/>
  <c r="BL38" i="58"/>
  <c r="BL39" i="58"/>
  <c r="BL40" i="58"/>
  <c r="BL41" i="58"/>
  <c r="BL42" i="58"/>
  <c r="BL43" i="58"/>
  <c r="BL44" i="58"/>
  <c r="BL45" i="58"/>
  <c r="BL46" i="58"/>
  <c r="BL47" i="58"/>
  <c r="BL48" i="58"/>
  <c r="BL49" i="58"/>
  <c r="BL50" i="58"/>
  <c r="BL51" i="58"/>
  <c r="BL52" i="58"/>
  <c r="BL53" i="58"/>
  <c r="BL54" i="58"/>
  <c r="BL55" i="58"/>
  <c r="BL56" i="58"/>
  <c r="BL57" i="58"/>
  <c r="BL58" i="58"/>
  <c r="BL59" i="58"/>
  <c r="BL60" i="58"/>
  <c r="BL31" i="58"/>
  <c r="BK32" i="58"/>
  <c r="BK33" i="58"/>
  <c r="BK34" i="58"/>
  <c r="BK35" i="58"/>
  <c r="BK36" i="58"/>
  <c r="BK37" i="58"/>
  <c r="BK38" i="58"/>
  <c r="BK39" i="58"/>
  <c r="BK40" i="58"/>
  <c r="BK41" i="58"/>
  <c r="BK42" i="58"/>
  <c r="BK43" i="58"/>
  <c r="BK44" i="58"/>
  <c r="BK45" i="58"/>
  <c r="BK46" i="58"/>
  <c r="BK47" i="58"/>
  <c r="BK48" i="58"/>
  <c r="BK49" i="58"/>
  <c r="BK50" i="58"/>
  <c r="BK51" i="58"/>
  <c r="BK52" i="58"/>
  <c r="BK53" i="58"/>
  <c r="BK54" i="58"/>
  <c r="BK55" i="58"/>
  <c r="BK56" i="58"/>
  <c r="BK57" i="58"/>
  <c r="BK58" i="58"/>
  <c r="BK59" i="58"/>
  <c r="BK60" i="58"/>
  <c r="BK31" i="58"/>
  <c r="BJ33" i="58"/>
  <c r="BJ34" i="58"/>
  <c r="BJ35" i="58"/>
  <c r="BJ36" i="58"/>
  <c r="BJ37" i="58"/>
  <c r="BJ38" i="58"/>
  <c r="BJ39" i="58"/>
  <c r="BJ40" i="58"/>
  <c r="BJ41" i="58"/>
  <c r="BJ42" i="58"/>
  <c r="BJ43" i="58"/>
  <c r="BJ44" i="58"/>
  <c r="BJ45" i="58"/>
  <c r="BJ46" i="58"/>
  <c r="BJ47" i="58"/>
  <c r="BJ48" i="58"/>
  <c r="BJ49" i="58"/>
  <c r="BJ50" i="58"/>
  <c r="BJ51" i="58"/>
  <c r="BJ52" i="58"/>
  <c r="BJ53" i="58"/>
  <c r="BJ54" i="58"/>
  <c r="BJ55" i="58"/>
  <c r="BJ56" i="58"/>
  <c r="BJ57" i="58"/>
  <c r="BJ58" i="58"/>
  <c r="BJ59" i="58"/>
  <c r="BJ60" i="58"/>
  <c r="BJ32" i="58"/>
  <c r="BJ31" i="58"/>
  <c r="AE23" i="2"/>
  <c r="H23" i="58"/>
  <c r="BF40" i="58"/>
  <c r="BK219" i="58"/>
  <c r="BL219" i="58"/>
  <c r="BK220" i="58"/>
  <c r="BL220" i="58"/>
  <c r="BK221" i="58"/>
  <c r="BL221" i="58"/>
  <c r="BK222" i="58"/>
  <c r="BL222" i="58"/>
  <c r="BK223" i="58"/>
  <c r="BL223" i="58"/>
  <c r="BK224" i="58"/>
  <c r="BL224" i="58"/>
  <c r="BK225" i="58"/>
  <c r="BL225" i="58"/>
  <c r="BK226" i="58"/>
  <c r="BL226" i="58"/>
  <c r="BK227" i="58"/>
  <c r="BL227" i="58"/>
  <c r="BK228" i="58"/>
  <c r="BL228" i="58"/>
  <c r="BK229" i="58"/>
  <c r="BL229" i="58"/>
  <c r="BK230" i="58"/>
  <c r="BL230" i="58"/>
  <c r="BK231" i="58"/>
  <c r="BL231" i="58"/>
  <c r="BK232" i="58"/>
  <c r="BL232" i="58"/>
  <c r="BK233" i="58"/>
  <c r="BL233" i="58"/>
  <c r="BK234" i="58"/>
  <c r="BL234" i="58"/>
  <c r="BK235" i="58"/>
  <c r="BL235" i="58"/>
  <c r="BK236" i="58"/>
  <c r="BL236" i="58"/>
  <c r="BK237" i="58"/>
  <c r="BL237" i="58"/>
  <c r="BK238" i="58"/>
  <c r="BL238" i="58"/>
  <c r="BK239" i="58"/>
  <c r="BL239" i="58"/>
  <c r="BK240" i="58"/>
  <c r="BL240" i="58"/>
  <c r="BK241" i="58"/>
  <c r="BL241" i="58"/>
  <c r="BK242" i="58"/>
  <c r="BL242" i="58"/>
  <c r="BK243" i="58"/>
  <c r="BL243" i="58"/>
  <c r="BK244" i="58"/>
  <c r="BL244" i="58"/>
  <c r="BK245" i="58"/>
  <c r="BL245" i="58"/>
  <c r="BK246" i="58"/>
  <c r="BL246" i="58"/>
  <c r="BK247" i="58"/>
  <c r="BL247" i="58"/>
  <c r="BL218" i="58"/>
  <c r="BK218" i="58"/>
  <c r="BG219" i="58"/>
  <c r="BH219" i="58"/>
  <c r="BG220" i="58"/>
  <c r="BH220" i="58"/>
  <c r="BG221" i="58"/>
  <c r="BH221" i="58"/>
  <c r="BG222" i="58"/>
  <c r="BH222" i="58"/>
  <c r="BG223" i="58"/>
  <c r="BH223" i="58"/>
  <c r="BG224" i="58"/>
  <c r="BH224" i="58"/>
  <c r="BG225" i="58"/>
  <c r="BH225" i="58"/>
  <c r="BG226" i="58"/>
  <c r="BH226" i="58"/>
  <c r="BG227" i="58"/>
  <c r="BH227" i="58"/>
  <c r="BG228" i="58"/>
  <c r="BH228" i="58"/>
  <c r="BG229" i="58"/>
  <c r="BH229" i="58"/>
  <c r="BG230" i="58"/>
  <c r="BH230" i="58"/>
  <c r="BG231" i="58"/>
  <c r="BH231" i="58"/>
  <c r="BG232" i="58"/>
  <c r="BH232" i="58"/>
  <c r="BG233" i="58"/>
  <c r="BH233" i="58"/>
  <c r="BG234" i="58"/>
  <c r="BH234" i="58"/>
  <c r="BG235" i="58"/>
  <c r="BH235" i="58"/>
  <c r="BG236" i="58"/>
  <c r="BH236" i="58"/>
  <c r="BG237" i="58"/>
  <c r="BH237" i="58"/>
  <c r="BG238" i="58"/>
  <c r="BH238" i="58"/>
  <c r="BG239" i="58"/>
  <c r="BH239" i="58"/>
  <c r="BG240" i="58"/>
  <c r="BH240" i="58"/>
  <c r="BG241" i="58"/>
  <c r="BH241" i="58"/>
  <c r="BG242" i="58"/>
  <c r="BH242" i="58"/>
  <c r="BG243" i="58"/>
  <c r="BH243" i="58"/>
  <c r="BG244" i="58"/>
  <c r="BH244" i="58"/>
  <c r="BG245" i="58"/>
  <c r="BH245" i="58"/>
  <c r="BG246" i="58"/>
  <c r="BH246" i="58"/>
  <c r="BG247" i="58"/>
  <c r="BH247" i="58"/>
  <c r="BH218" i="58"/>
  <c r="BG218" i="58"/>
  <c r="BG176" i="58"/>
  <c r="BH176" i="58"/>
  <c r="BG177" i="58"/>
  <c r="BH177" i="58"/>
  <c r="BG178" i="58"/>
  <c r="BH178" i="58"/>
  <c r="BG179" i="58"/>
  <c r="BH179" i="58"/>
  <c r="BG180" i="58"/>
  <c r="BH180" i="58"/>
  <c r="BG181" i="58"/>
  <c r="BH181" i="58"/>
  <c r="BG182" i="58"/>
  <c r="BH182" i="58"/>
  <c r="BG183" i="58"/>
  <c r="BH183" i="58"/>
  <c r="BG184" i="58"/>
  <c r="BH184" i="58"/>
  <c r="BG185" i="58"/>
  <c r="BH185" i="58"/>
  <c r="BG186" i="58"/>
  <c r="BH186" i="58"/>
  <c r="BG187" i="58"/>
  <c r="BH187" i="58"/>
  <c r="BG188" i="58"/>
  <c r="BH188" i="58"/>
  <c r="BG189" i="58"/>
  <c r="BH189" i="58"/>
  <c r="BG190" i="58"/>
  <c r="BH190" i="58"/>
  <c r="BG191" i="58"/>
  <c r="BH191" i="58"/>
  <c r="BG192" i="58"/>
  <c r="BH192" i="58"/>
  <c r="BG193" i="58"/>
  <c r="BH193" i="58"/>
  <c r="BG194" i="58"/>
  <c r="BH194" i="58"/>
  <c r="BG195" i="58"/>
  <c r="BH195" i="58"/>
  <c r="BG196" i="58"/>
  <c r="BH196" i="58"/>
  <c r="BG197" i="58"/>
  <c r="BH197" i="58"/>
  <c r="BG198" i="58"/>
  <c r="BH198" i="58"/>
  <c r="BG199" i="58"/>
  <c r="BH199" i="58"/>
  <c r="BG200" i="58"/>
  <c r="BH200" i="58"/>
  <c r="BG201" i="58"/>
  <c r="BH201" i="58"/>
  <c r="BG202" i="58"/>
  <c r="BH202" i="58"/>
  <c r="BG203" i="58"/>
  <c r="BH203" i="58"/>
  <c r="BG204" i="58"/>
  <c r="BH204" i="58"/>
  <c r="BH175" i="58"/>
  <c r="BG175" i="58"/>
  <c r="BG133" i="58"/>
  <c r="BH133" i="58"/>
  <c r="BG134" i="58"/>
  <c r="BH134" i="58"/>
  <c r="BG135" i="58"/>
  <c r="BH135" i="58"/>
  <c r="BG136" i="58"/>
  <c r="BH136" i="58"/>
  <c r="BG137" i="58"/>
  <c r="BH137" i="58"/>
  <c r="BG138" i="58"/>
  <c r="BH138" i="58"/>
  <c r="BG139" i="58"/>
  <c r="BH139" i="58"/>
  <c r="BG140" i="58"/>
  <c r="BH140" i="58"/>
  <c r="BG141" i="58"/>
  <c r="BH141" i="58"/>
  <c r="BG142" i="58"/>
  <c r="BH142" i="58"/>
  <c r="BG143" i="58"/>
  <c r="BH143" i="58"/>
  <c r="BG144" i="58"/>
  <c r="BH144" i="58"/>
  <c r="BG145" i="58"/>
  <c r="BH145" i="58"/>
  <c r="BG146" i="58"/>
  <c r="BH146" i="58"/>
  <c r="BG147" i="58"/>
  <c r="BH147" i="58"/>
  <c r="BG148" i="58"/>
  <c r="BH148" i="58"/>
  <c r="BG149" i="58"/>
  <c r="BH149" i="58"/>
  <c r="BG150" i="58"/>
  <c r="BH150" i="58"/>
  <c r="BG151" i="58"/>
  <c r="BH151" i="58"/>
  <c r="BG152" i="58"/>
  <c r="BH152" i="58"/>
  <c r="BG153" i="58"/>
  <c r="BH153" i="58"/>
  <c r="BG154" i="58"/>
  <c r="BH154" i="58"/>
  <c r="BG155" i="58"/>
  <c r="BH155" i="58"/>
  <c r="BG156" i="58"/>
  <c r="BH156" i="58"/>
  <c r="BG157" i="58"/>
  <c r="BH157" i="58"/>
  <c r="BG158" i="58"/>
  <c r="BH158" i="58"/>
  <c r="BG159" i="58"/>
  <c r="BH159" i="58"/>
  <c r="BG160" i="58"/>
  <c r="BH160" i="58"/>
  <c r="BG161" i="58"/>
  <c r="BH161" i="58"/>
  <c r="BH132" i="58"/>
  <c r="BG132" i="58"/>
  <c r="BL78" i="58"/>
  <c r="BL79" i="58"/>
  <c r="BL80" i="58"/>
  <c r="BL81" i="58"/>
  <c r="BL82" i="58"/>
  <c r="BL83" i="58"/>
  <c r="BL84" i="58"/>
  <c r="BL85" i="58"/>
  <c r="BL86" i="58"/>
  <c r="BL87" i="58"/>
  <c r="BL88" i="58"/>
  <c r="BL89" i="58"/>
  <c r="BL90" i="58"/>
  <c r="BL91" i="58"/>
  <c r="BL92" i="58"/>
  <c r="AE29" i="2"/>
  <c r="AW29" i="2" s="1"/>
  <c r="BC3" i="53"/>
  <c r="BC4" i="53"/>
  <c r="BC5" i="53"/>
  <c r="BC6" i="53"/>
  <c r="BC7" i="53"/>
  <c r="BC8" i="53"/>
  <c r="BC9" i="53"/>
  <c r="BC10" i="53"/>
  <c r="BC11" i="53"/>
  <c r="BC12" i="53"/>
  <c r="BC13" i="53"/>
  <c r="BC14" i="53"/>
  <c r="BC15" i="53"/>
  <c r="BC16" i="53"/>
  <c r="BC17" i="53"/>
  <c r="BC18" i="53"/>
  <c r="BC19" i="53"/>
  <c r="BC20" i="53"/>
  <c r="BC21" i="53"/>
  <c r="BC22" i="53"/>
  <c r="BC23" i="53"/>
  <c r="BC24" i="53"/>
  <c r="BC25" i="53"/>
  <c r="BC26" i="53"/>
  <c r="BC27" i="53"/>
  <c r="BC28" i="53"/>
  <c r="BC29" i="53"/>
  <c r="BC30" i="53"/>
  <c r="BC31" i="53"/>
  <c r="BC32" i="53"/>
  <c r="BC33" i="53"/>
  <c r="BC34" i="53"/>
  <c r="BC35" i="53"/>
  <c r="BC36" i="53"/>
  <c r="BC37" i="53"/>
  <c r="BC38" i="53"/>
  <c r="BC39" i="53"/>
  <c r="BC40" i="53"/>
  <c r="BC41" i="53"/>
  <c r="BC42" i="53"/>
  <c r="BC43" i="53"/>
  <c r="BC44" i="53"/>
  <c r="BC45" i="53"/>
  <c r="BC46" i="53"/>
  <c r="BC47" i="53"/>
  <c r="BC48" i="53"/>
  <c r="BC49" i="53"/>
  <c r="BC50" i="53"/>
  <c r="BC51" i="53"/>
  <c r="BC52" i="53"/>
  <c r="BC53" i="53"/>
  <c r="BC54" i="53"/>
  <c r="BC55" i="53"/>
  <c r="BC56" i="53"/>
  <c r="BC57" i="53"/>
  <c r="BC58" i="53"/>
  <c r="BC59" i="53"/>
  <c r="BC60" i="53"/>
  <c r="BC61" i="53"/>
  <c r="BC62" i="53"/>
  <c r="BC63" i="53"/>
  <c r="BC64" i="53"/>
  <c r="BC65" i="53"/>
  <c r="BC66" i="53"/>
  <c r="BC67" i="53"/>
  <c r="BC68" i="53"/>
  <c r="BC69" i="53"/>
  <c r="BC70" i="53"/>
  <c r="BC71" i="53"/>
  <c r="BC72" i="53"/>
  <c r="BC73" i="53"/>
  <c r="BC74" i="53"/>
  <c r="BC75" i="53"/>
  <c r="BC76" i="53"/>
  <c r="BC77" i="53"/>
  <c r="BC78" i="53"/>
  <c r="BC79" i="53"/>
  <c r="BC80" i="53"/>
  <c r="BC81" i="53"/>
  <c r="BC82" i="53"/>
  <c r="BC83" i="53"/>
  <c r="BC84" i="53"/>
  <c r="BC85" i="53"/>
  <c r="BC86" i="53"/>
  <c r="BC87" i="53"/>
  <c r="BC88" i="53"/>
  <c r="BC89" i="53"/>
  <c r="BC90" i="53"/>
  <c r="BC91" i="53"/>
  <c r="BC92" i="53"/>
  <c r="BC93" i="53"/>
  <c r="BC94" i="53"/>
  <c r="BC95" i="53"/>
  <c r="BC96" i="53"/>
  <c r="BC97" i="53"/>
  <c r="BC98" i="53"/>
  <c r="BC99" i="53"/>
  <c r="BC100" i="53"/>
  <c r="BC101" i="53"/>
  <c r="BC102" i="53"/>
  <c r="BC103" i="53"/>
  <c r="BC104" i="53"/>
  <c r="BC105" i="53"/>
  <c r="BC106" i="53"/>
  <c r="BC107" i="53"/>
  <c r="BC108" i="53"/>
  <c r="BC109" i="53"/>
  <c r="BC110" i="53"/>
  <c r="BC111" i="53"/>
  <c r="BC112" i="53"/>
  <c r="BC113" i="53"/>
  <c r="BC114" i="53"/>
  <c r="BC115" i="53"/>
  <c r="BC116" i="53"/>
  <c r="BC117" i="53"/>
  <c r="BC118" i="53"/>
  <c r="BC119" i="53"/>
  <c r="BC120" i="53"/>
  <c r="BC121" i="53"/>
  <c r="BC122" i="53"/>
  <c r="BC123" i="53"/>
  <c r="BC124" i="53"/>
  <c r="BC125" i="53"/>
  <c r="BC126" i="53"/>
  <c r="BC127" i="53"/>
  <c r="BC128" i="53"/>
  <c r="BC129" i="53"/>
  <c r="BC130" i="53"/>
  <c r="BC131" i="53"/>
  <c r="BC132" i="53"/>
  <c r="BC133" i="53"/>
  <c r="BC134" i="53"/>
  <c r="BC135" i="53"/>
  <c r="BC136" i="53"/>
  <c r="BC137" i="53"/>
  <c r="BC138" i="53"/>
  <c r="BC139" i="53"/>
  <c r="BC140" i="53"/>
  <c r="BC141" i="53"/>
  <c r="BC142" i="53"/>
  <c r="BC143" i="53"/>
  <c r="BC144" i="53"/>
  <c r="BC145" i="53"/>
  <c r="BC146" i="53"/>
  <c r="BC147" i="53"/>
  <c r="BC148" i="53"/>
  <c r="BC149" i="53"/>
  <c r="BC150" i="53"/>
  <c r="BC151" i="53"/>
  <c r="BC152" i="53"/>
  <c r="BC153" i="53"/>
  <c r="BC154" i="53"/>
  <c r="BC155" i="53"/>
  <c r="BC156" i="53"/>
  <c r="BC157" i="53"/>
  <c r="BC158" i="53"/>
  <c r="BC159" i="53"/>
  <c r="BC160" i="53"/>
  <c r="BC161" i="53"/>
  <c r="BC162" i="53"/>
  <c r="BC163" i="53"/>
  <c r="BC164" i="53"/>
  <c r="BC165" i="53"/>
  <c r="BC166" i="53"/>
  <c r="BC167" i="53"/>
  <c r="BC168" i="53"/>
  <c r="BC169" i="53"/>
  <c r="BC170" i="53"/>
  <c r="BC171" i="53"/>
  <c r="BC172" i="53"/>
  <c r="BC173" i="53"/>
  <c r="BC174" i="53"/>
  <c r="BC175" i="53"/>
  <c r="BC176" i="53"/>
  <c r="BC177" i="53"/>
  <c r="BC178" i="53"/>
  <c r="BC179" i="53"/>
  <c r="BC180" i="53"/>
  <c r="BC181" i="53"/>
  <c r="BC182" i="53"/>
  <c r="BC183" i="53"/>
  <c r="BC184" i="53"/>
  <c r="BC185" i="53"/>
  <c r="BC186" i="53"/>
  <c r="BC187" i="53"/>
  <c r="BC188" i="53"/>
  <c r="BC189" i="53"/>
  <c r="BC190" i="53"/>
  <c r="BC191" i="53"/>
  <c r="BC192" i="53"/>
  <c r="BC193" i="53"/>
  <c r="BC194" i="53"/>
  <c r="BC195" i="53"/>
  <c r="BC196" i="53"/>
  <c r="BC197" i="53"/>
  <c r="BC198" i="53"/>
  <c r="BC199" i="53"/>
  <c r="BC200" i="53"/>
  <c r="BC201" i="53"/>
  <c r="BC202" i="53"/>
  <c r="BC203" i="53"/>
  <c r="BC204" i="53"/>
  <c r="BC205" i="53"/>
  <c r="BC206" i="53"/>
  <c r="BC207" i="53"/>
  <c r="BC208" i="53"/>
  <c r="BC209" i="53"/>
  <c r="BC210" i="53"/>
  <c r="BC211" i="53"/>
  <c r="BC212" i="53"/>
  <c r="BC213" i="53"/>
  <c r="BC214" i="53"/>
  <c r="BC215" i="53"/>
  <c r="BC216" i="53"/>
  <c r="BC217" i="53"/>
  <c r="BC218" i="53"/>
  <c r="BC219" i="53"/>
  <c r="BC220" i="53"/>
  <c r="BC221" i="53"/>
  <c r="BC222" i="53"/>
  <c r="BC223" i="53"/>
  <c r="BC224" i="53"/>
  <c r="BC225" i="53"/>
  <c r="BC226" i="53"/>
  <c r="BC227" i="53"/>
  <c r="BC228" i="53"/>
  <c r="BC229" i="53"/>
  <c r="BC230" i="53"/>
  <c r="BC231" i="53"/>
  <c r="BC232" i="53"/>
  <c r="BC233" i="53"/>
  <c r="BC234" i="53"/>
  <c r="BC235" i="53"/>
  <c r="BC236" i="53"/>
  <c r="BC237" i="53"/>
  <c r="BC238" i="53"/>
  <c r="BC239" i="53"/>
  <c r="BC240" i="53"/>
  <c r="BC241" i="53"/>
  <c r="BC242" i="53"/>
  <c r="BC243" i="53"/>
  <c r="BC244" i="53"/>
  <c r="BC245" i="53"/>
  <c r="BC246" i="53"/>
  <c r="BC247" i="53"/>
  <c r="BC248" i="53"/>
  <c r="BC249" i="53"/>
  <c r="BC250" i="53"/>
  <c r="BC251" i="53"/>
  <c r="BC252" i="53"/>
  <c r="BC253" i="53"/>
  <c r="BC254" i="53"/>
  <c r="BC255" i="53"/>
  <c r="BC256" i="53"/>
  <c r="BC257" i="53"/>
  <c r="BC258" i="53"/>
  <c r="BC259" i="53"/>
  <c r="BC260" i="53"/>
  <c r="BC261" i="53"/>
  <c r="BC262" i="53"/>
  <c r="BC263" i="53"/>
  <c r="BC264" i="53"/>
  <c r="BC265" i="53"/>
  <c r="BC266" i="53"/>
  <c r="BC267" i="53"/>
  <c r="BC268" i="53"/>
  <c r="BC269" i="53"/>
  <c r="BC270" i="53"/>
  <c r="BC271" i="53"/>
  <c r="BC272" i="53"/>
  <c r="BC273" i="53"/>
  <c r="BC274" i="53"/>
  <c r="BC275" i="53"/>
  <c r="BC276" i="53"/>
  <c r="BC277" i="53"/>
  <c r="BC278" i="53"/>
  <c r="BC279" i="53"/>
  <c r="BC280" i="53"/>
  <c r="BC281" i="53"/>
  <c r="BC282" i="53"/>
  <c r="BC283" i="53"/>
  <c r="BC284" i="53"/>
  <c r="BC285" i="53"/>
  <c r="BC286" i="53"/>
  <c r="BC287" i="53"/>
  <c r="BC288" i="53"/>
  <c r="BC289" i="53"/>
  <c r="BC290" i="53"/>
  <c r="BC291" i="53"/>
  <c r="BC292" i="53"/>
  <c r="BC293" i="53"/>
  <c r="BC294" i="53"/>
  <c r="BC295" i="53"/>
  <c r="BC296" i="53"/>
  <c r="BC297" i="53"/>
  <c r="BC298" i="53"/>
  <c r="BC299" i="53"/>
  <c r="BC300" i="53"/>
  <c r="BC301" i="53"/>
  <c r="BC302" i="53"/>
  <c r="BC303" i="53"/>
  <c r="BC304" i="53"/>
  <c r="BC305" i="53"/>
  <c r="BC306" i="53"/>
  <c r="BC307" i="53"/>
  <c r="BC308" i="53"/>
  <c r="BC309" i="53"/>
  <c r="BC310" i="53"/>
  <c r="BC311" i="53"/>
  <c r="BC312" i="53"/>
  <c r="BC313" i="53"/>
  <c r="BC314" i="53"/>
  <c r="BC315" i="53"/>
  <c r="BC316" i="53"/>
  <c r="BC317" i="53"/>
  <c r="BC318" i="53"/>
  <c r="BC319" i="53"/>
  <c r="BC320" i="53"/>
  <c r="BC321" i="53"/>
  <c r="BC322" i="53"/>
  <c r="BC323" i="53"/>
  <c r="BC324" i="53"/>
  <c r="BC325" i="53"/>
  <c r="BC326" i="53"/>
  <c r="BC327" i="53"/>
  <c r="BC328" i="53"/>
  <c r="BC329" i="53"/>
  <c r="BC330" i="53"/>
  <c r="BC331" i="53"/>
  <c r="BC332" i="53"/>
  <c r="BC333" i="53"/>
  <c r="BC334" i="53"/>
  <c r="BC335" i="53"/>
  <c r="BC336" i="53"/>
  <c r="BC337" i="53"/>
  <c r="BC338" i="53"/>
  <c r="BC339" i="53"/>
  <c r="BC340" i="53"/>
  <c r="BC341" i="53"/>
  <c r="BC342" i="53"/>
  <c r="BC343" i="53"/>
  <c r="BC344" i="53"/>
  <c r="BC345" i="53"/>
  <c r="BC346" i="53"/>
  <c r="BC347" i="53"/>
  <c r="BC348" i="53"/>
  <c r="BC349" i="53"/>
  <c r="BC350" i="53"/>
  <c r="BC351" i="53"/>
  <c r="BC352" i="53"/>
  <c r="BC353" i="53"/>
  <c r="BC354" i="53"/>
  <c r="BC355" i="53"/>
  <c r="BC356" i="53"/>
  <c r="BC357" i="53"/>
  <c r="BC358" i="53"/>
  <c r="BC359" i="53"/>
  <c r="BC360" i="53"/>
  <c r="BC361" i="53"/>
  <c r="BC362" i="53"/>
  <c r="BC363" i="53"/>
  <c r="BC364" i="53"/>
  <c r="BC365" i="53"/>
  <c r="BC366" i="53"/>
  <c r="BC367" i="53"/>
  <c r="BC368" i="53"/>
  <c r="BC369" i="53"/>
  <c r="BC370" i="53"/>
  <c r="BC371" i="53"/>
  <c r="BC372" i="53"/>
  <c r="BC373" i="53"/>
  <c r="BC374" i="53"/>
  <c r="BC375" i="53"/>
  <c r="BC376" i="53"/>
  <c r="BC377" i="53"/>
  <c r="BC378" i="53"/>
  <c r="BC379" i="53"/>
  <c r="BC380" i="53"/>
  <c r="BC381" i="53"/>
  <c r="BC382" i="53"/>
  <c r="BC383" i="53"/>
  <c r="BC384" i="53"/>
  <c r="BC385" i="53"/>
  <c r="BC386" i="53"/>
  <c r="BC387" i="53"/>
  <c r="BC388" i="53"/>
  <c r="BC389" i="53"/>
  <c r="BC390" i="53"/>
  <c r="BC391" i="53"/>
  <c r="BC392" i="53"/>
  <c r="BC393" i="53"/>
  <c r="BC394" i="53"/>
  <c r="BC395" i="53"/>
  <c r="BC396" i="53"/>
  <c r="BC397" i="53"/>
  <c r="BC398" i="53"/>
  <c r="BC399" i="53"/>
  <c r="BC400" i="53"/>
  <c r="BC401" i="53"/>
  <c r="BC402" i="53"/>
  <c r="BC403" i="53"/>
  <c r="BC404" i="53"/>
  <c r="BC405" i="53"/>
  <c r="BC406" i="53"/>
  <c r="BC407" i="53"/>
  <c r="BC408" i="53"/>
  <c r="BC409" i="53"/>
  <c r="BC410" i="53"/>
  <c r="BC411" i="53"/>
  <c r="BC412" i="53"/>
  <c r="BC413" i="53"/>
  <c r="BC414" i="53"/>
  <c r="BC415" i="53"/>
  <c r="BC416" i="53"/>
  <c r="BC417" i="53"/>
  <c r="BC418" i="53"/>
  <c r="BC419" i="53"/>
  <c r="BC420" i="53"/>
  <c r="BC421" i="53"/>
  <c r="BC422" i="53"/>
  <c r="BC423" i="53"/>
  <c r="BC424" i="53"/>
  <c r="BC425" i="53"/>
  <c r="BC426" i="53"/>
  <c r="BC427" i="53"/>
  <c r="BC428" i="53"/>
  <c r="BC429" i="53"/>
  <c r="BC430" i="53"/>
  <c r="BC431" i="53"/>
  <c r="BC432" i="53"/>
  <c r="BC433" i="53"/>
  <c r="BC434" i="53"/>
  <c r="BC435" i="53"/>
  <c r="BC436" i="53"/>
  <c r="BC437" i="53"/>
  <c r="BC438" i="53"/>
  <c r="BC439" i="53"/>
  <c r="BC440" i="53"/>
  <c r="BC441" i="53"/>
  <c r="BC442" i="53"/>
  <c r="BC443" i="53"/>
  <c r="BC444" i="53"/>
  <c r="BC445" i="53"/>
  <c r="BC446" i="53"/>
  <c r="BC447" i="53"/>
  <c r="BC448" i="53"/>
  <c r="BC449" i="53"/>
  <c r="BC450" i="53"/>
  <c r="BC451" i="53"/>
  <c r="BC452" i="53"/>
  <c r="BC453" i="53"/>
  <c r="BC454" i="53"/>
  <c r="BC455" i="53"/>
  <c r="BC456" i="53"/>
  <c r="BC457" i="53"/>
  <c r="BC458" i="53"/>
  <c r="BC459" i="53"/>
  <c r="BC460" i="53"/>
  <c r="BC461" i="53"/>
  <c r="BC462" i="53"/>
  <c r="BC463" i="53"/>
  <c r="BC464" i="53"/>
  <c r="BC465" i="53"/>
  <c r="BC466" i="53"/>
  <c r="BC467" i="53"/>
  <c r="BC468" i="53"/>
  <c r="BC469" i="53"/>
  <c r="BC470" i="53"/>
  <c r="BC471" i="53"/>
  <c r="BC472" i="53"/>
  <c r="BC473" i="53"/>
  <c r="BC474" i="53"/>
  <c r="BC475" i="53"/>
  <c r="BC476" i="53"/>
  <c r="BC477" i="53"/>
  <c r="BC478" i="53"/>
  <c r="BC479" i="53"/>
  <c r="BC480" i="53"/>
  <c r="BC481" i="53"/>
  <c r="BC482" i="53"/>
  <c r="BC483" i="53"/>
  <c r="BC484" i="53"/>
  <c r="BC485" i="53"/>
  <c r="BC486" i="53"/>
  <c r="BC487" i="53"/>
  <c r="BC488" i="53"/>
  <c r="BC489" i="53"/>
  <c r="BC490" i="53"/>
  <c r="BC491" i="53"/>
  <c r="BC492" i="53"/>
  <c r="BC493" i="53"/>
  <c r="BC494" i="53"/>
  <c r="BC495" i="53"/>
  <c r="BC496" i="53"/>
  <c r="BC497" i="53"/>
  <c r="BC498" i="53"/>
  <c r="BC499" i="53"/>
  <c r="BC500" i="53"/>
  <c r="BC501" i="53"/>
  <c r="BC502" i="53"/>
  <c r="BC503" i="53"/>
  <c r="BC504" i="53"/>
  <c r="BC505" i="53"/>
  <c r="BC506" i="53"/>
  <c r="BC507" i="53"/>
  <c r="BC508" i="53"/>
  <c r="BC509" i="53"/>
  <c r="BC510" i="53"/>
  <c r="BC511" i="53"/>
  <c r="BC512" i="53"/>
  <c r="BC513" i="53"/>
  <c r="BC514" i="53"/>
  <c r="BC515" i="53"/>
  <c r="BC516" i="53"/>
  <c r="BC517" i="53"/>
  <c r="BC518" i="53"/>
  <c r="BC519" i="53"/>
  <c r="BC520" i="53"/>
  <c r="BC521" i="53"/>
  <c r="BC522" i="53"/>
  <c r="BC523" i="53"/>
  <c r="BC524" i="53"/>
  <c r="BC525" i="53"/>
  <c r="BC526" i="53"/>
  <c r="BC527" i="53"/>
  <c r="BC528" i="53"/>
  <c r="BC529" i="53"/>
  <c r="BC530" i="53"/>
  <c r="BC531" i="53"/>
  <c r="BC532" i="53"/>
  <c r="BC533" i="53"/>
  <c r="BC534" i="53"/>
  <c r="BC535" i="53"/>
  <c r="BC536" i="53"/>
  <c r="BC537" i="53"/>
  <c r="BC538" i="53"/>
  <c r="BC539" i="53"/>
  <c r="BC540" i="53"/>
  <c r="BC541" i="53"/>
  <c r="BC542" i="53"/>
  <c r="BC543" i="53"/>
  <c r="BC544" i="53"/>
  <c r="BC545" i="53"/>
  <c r="BC546" i="53"/>
  <c r="BC547" i="53"/>
  <c r="BC548" i="53"/>
  <c r="BC549" i="53"/>
  <c r="BC550" i="53"/>
  <c r="BC551" i="53"/>
  <c r="BC552" i="53"/>
  <c r="BC553" i="53"/>
  <c r="BC554" i="53"/>
  <c r="BC555" i="53"/>
  <c r="BC556" i="53"/>
  <c r="BC557" i="53"/>
  <c r="BC558" i="53"/>
  <c r="BC559" i="53"/>
  <c r="BC560" i="53"/>
  <c r="BC561" i="53"/>
  <c r="BC562" i="53"/>
  <c r="BC563" i="53"/>
  <c r="BC564" i="53"/>
  <c r="BC565" i="53"/>
  <c r="BC566" i="53"/>
  <c r="BC567" i="53"/>
  <c r="BC568" i="53"/>
  <c r="BC569" i="53"/>
  <c r="BC570" i="53"/>
  <c r="BC571" i="53"/>
  <c r="BC572" i="53"/>
  <c r="BC573" i="53"/>
  <c r="BC574" i="53"/>
  <c r="BC575" i="53"/>
  <c r="BC576" i="53"/>
  <c r="BC577" i="53"/>
  <c r="BC578" i="53"/>
  <c r="BC579" i="53"/>
  <c r="BC580" i="53"/>
  <c r="BC581" i="53"/>
  <c r="BC582" i="53"/>
  <c r="BC583" i="53"/>
  <c r="BC584" i="53"/>
  <c r="BC585" i="53"/>
  <c r="BC586" i="53"/>
  <c r="BC587" i="53"/>
  <c r="BC588" i="53"/>
  <c r="BC589" i="53"/>
  <c r="BC590" i="53"/>
  <c r="BC591" i="53"/>
  <c r="BC592" i="53"/>
  <c r="BC593" i="53"/>
  <c r="BC594" i="53"/>
  <c r="BC595" i="53"/>
  <c r="BC596" i="53"/>
  <c r="BC597" i="53"/>
  <c r="BC598" i="53"/>
  <c r="BC599" i="53"/>
  <c r="BC600" i="53"/>
  <c r="BC601" i="53"/>
  <c r="BC602" i="53"/>
  <c r="BC603" i="53"/>
  <c r="BC604" i="53"/>
  <c r="BC605" i="53"/>
  <c r="BC606" i="53"/>
  <c r="BC607" i="53"/>
  <c r="BC608" i="53"/>
  <c r="BC609" i="53"/>
  <c r="BC610" i="53"/>
  <c r="BC611" i="53"/>
  <c r="BC612" i="53"/>
  <c r="BC613" i="53"/>
  <c r="BC614" i="53"/>
  <c r="BC615" i="53"/>
  <c r="BC616" i="53"/>
  <c r="BC617" i="53"/>
  <c r="BC618" i="53"/>
  <c r="BC619" i="53"/>
  <c r="BC620" i="53"/>
  <c r="BC621" i="53"/>
  <c r="BC622" i="53"/>
  <c r="BC623" i="53"/>
  <c r="BC624" i="53"/>
  <c r="BC625" i="53"/>
  <c r="BC626" i="53"/>
  <c r="BC627" i="53"/>
  <c r="BC628" i="53"/>
  <c r="BC629" i="53"/>
  <c r="BC630" i="53"/>
  <c r="BC631" i="53"/>
  <c r="BC632" i="53"/>
  <c r="BC633" i="53"/>
  <c r="BC634" i="53"/>
  <c r="BC635" i="53"/>
  <c r="BC636" i="53"/>
  <c r="BC637" i="53"/>
  <c r="BC638" i="53"/>
  <c r="BC639" i="53"/>
  <c r="BC640" i="53"/>
  <c r="BC641" i="53"/>
  <c r="BC642" i="53"/>
  <c r="BC643" i="53"/>
  <c r="BC644" i="53"/>
  <c r="BC645" i="53"/>
  <c r="BC646" i="53"/>
  <c r="BC647" i="53"/>
  <c r="BC648" i="53"/>
  <c r="BC649" i="53"/>
  <c r="BC650" i="53"/>
  <c r="BC651" i="53"/>
  <c r="BC652" i="53"/>
  <c r="BC653" i="53"/>
  <c r="BC654" i="53"/>
  <c r="BC655" i="53"/>
  <c r="BC656" i="53"/>
  <c r="BC657" i="53"/>
  <c r="BC658" i="53"/>
  <c r="BC659" i="53"/>
  <c r="BC660" i="53"/>
  <c r="BC661" i="53"/>
  <c r="BC662" i="53"/>
  <c r="BC663" i="53"/>
  <c r="BC664" i="53"/>
  <c r="BC665" i="53"/>
  <c r="BC666" i="53"/>
  <c r="BC667" i="53"/>
  <c r="BC668" i="53"/>
  <c r="BC669" i="53"/>
  <c r="BC670" i="53"/>
  <c r="BC671" i="53"/>
  <c r="BC672" i="53"/>
  <c r="BC673" i="53"/>
  <c r="BC674" i="53"/>
  <c r="BC675" i="53"/>
  <c r="BC676" i="53"/>
  <c r="BC677" i="53"/>
  <c r="BC678" i="53"/>
  <c r="BC679" i="53"/>
  <c r="BC680" i="53"/>
  <c r="BC681" i="53"/>
  <c r="BC682" i="53"/>
  <c r="BC683" i="53"/>
  <c r="BC684" i="53"/>
  <c r="BC685" i="53"/>
  <c r="BC686" i="53"/>
  <c r="BC687" i="53"/>
  <c r="BC688" i="53"/>
  <c r="BC689" i="53"/>
  <c r="BC690" i="53"/>
  <c r="BC691" i="53"/>
  <c r="BC692" i="53"/>
  <c r="BC693" i="53"/>
  <c r="BC694" i="53"/>
  <c r="BC695" i="53"/>
  <c r="BC696" i="53"/>
  <c r="BC697" i="53"/>
  <c r="BC698" i="53"/>
  <c r="BC699" i="53"/>
  <c r="BC700" i="53"/>
  <c r="BC701" i="53"/>
  <c r="BC702" i="53"/>
  <c r="BC703" i="53"/>
  <c r="BC704" i="53"/>
  <c r="BC705" i="53"/>
  <c r="BC706" i="53"/>
  <c r="BC707" i="53"/>
  <c r="BC708" i="53"/>
  <c r="BC709" i="53"/>
  <c r="BC710" i="53"/>
  <c r="BC711" i="53"/>
  <c r="BC712" i="53"/>
  <c r="BC713" i="53"/>
  <c r="BC714" i="53"/>
  <c r="BC715" i="53"/>
  <c r="BC716" i="53"/>
  <c r="BC717" i="53"/>
  <c r="BC718" i="53"/>
  <c r="BC719" i="53"/>
  <c r="BC720" i="53"/>
  <c r="BC721" i="53"/>
  <c r="BC722" i="53"/>
  <c r="BC723" i="53"/>
  <c r="BC724" i="53"/>
  <c r="BC725" i="53"/>
  <c r="BC726" i="53"/>
  <c r="BC727" i="53"/>
  <c r="BC728" i="53"/>
  <c r="BC729" i="53"/>
  <c r="BC730" i="53"/>
  <c r="BC731" i="53"/>
  <c r="BC732" i="53"/>
  <c r="BC733" i="53"/>
  <c r="BC734" i="53"/>
  <c r="BC735" i="53"/>
  <c r="BC736" i="53"/>
  <c r="BC737" i="53"/>
  <c r="BC738" i="53"/>
  <c r="BC739" i="53"/>
  <c r="BC740" i="53"/>
  <c r="BC741" i="53"/>
  <c r="BC742" i="53"/>
  <c r="BC743" i="53"/>
  <c r="BC744" i="53"/>
  <c r="BC745" i="53"/>
  <c r="BC746" i="53"/>
  <c r="BC747" i="53"/>
  <c r="BC748" i="53"/>
  <c r="BC749" i="53"/>
  <c r="BC750" i="53"/>
  <c r="BC751" i="53"/>
  <c r="BC752" i="53"/>
  <c r="BC753" i="53"/>
  <c r="BC754" i="53"/>
  <c r="BC755" i="53"/>
  <c r="BC756" i="53"/>
  <c r="BC757" i="53"/>
  <c r="BC758" i="53"/>
  <c r="BC759" i="53"/>
  <c r="BC760" i="53"/>
  <c r="BC761" i="53"/>
  <c r="BC762" i="53"/>
  <c r="BC763" i="53"/>
  <c r="BC764" i="53"/>
  <c r="BC765" i="53"/>
  <c r="BC766" i="53"/>
  <c r="BC767" i="53"/>
  <c r="BC768" i="53"/>
  <c r="BC769" i="53"/>
  <c r="BC770" i="53"/>
  <c r="BC771" i="53"/>
  <c r="BC772" i="53"/>
  <c r="BC773" i="53"/>
  <c r="BC774" i="53"/>
  <c r="BC775" i="53"/>
  <c r="BC776" i="53"/>
  <c r="BC777" i="53"/>
  <c r="BC778" i="53"/>
  <c r="BC779" i="53"/>
  <c r="BC780" i="53"/>
  <c r="BC781" i="53"/>
  <c r="BC782" i="53"/>
  <c r="BC783" i="53"/>
  <c r="BC784" i="53"/>
  <c r="BC785" i="53"/>
  <c r="BC786" i="53"/>
  <c r="BC787" i="53"/>
  <c r="BC788" i="53"/>
  <c r="BC789" i="53"/>
  <c r="BC790" i="53"/>
  <c r="BC791" i="53"/>
  <c r="BC792" i="53"/>
  <c r="BC793" i="53"/>
  <c r="BC794" i="53"/>
  <c r="BC795" i="53"/>
  <c r="BC796" i="53"/>
  <c r="BC797" i="53"/>
  <c r="BC798" i="53"/>
  <c r="BC799" i="53"/>
  <c r="BC800" i="53"/>
  <c r="BC801" i="53"/>
  <c r="BC802" i="53"/>
  <c r="BC803" i="53"/>
  <c r="BC804" i="53"/>
  <c r="BC805" i="53"/>
  <c r="BC806" i="53"/>
  <c r="BC807" i="53"/>
  <c r="BC808" i="53"/>
  <c r="BC809" i="53"/>
  <c r="BC810" i="53"/>
  <c r="BC811" i="53"/>
  <c r="BC812" i="53"/>
  <c r="BC813" i="53"/>
  <c r="BC814" i="53"/>
  <c r="BC815" i="53"/>
  <c r="BC816" i="53"/>
  <c r="BC817" i="53"/>
  <c r="BC818" i="53"/>
  <c r="BC819" i="53"/>
  <c r="BC820" i="53"/>
  <c r="BC821" i="53"/>
  <c r="BC2" i="53"/>
  <c r="CA17" i="58"/>
  <c r="BZ17" i="58"/>
  <c r="CE108" i="58" s="1"/>
  <c r="BT20" i="58"/>
  <c r="CE19" i="58" s="1"/>
  <c r="BS3" i="58"/>
  <c r="BR4" i="58"/>
  <c r="BR3" i="58"/>
  <c r="BQ4" i="58"/>
  <c r="BP4" i="58"/>
  <c r="BI32" i="58"/>
  <c r="BI33" i="58"/>
  <c r="BI34" i="58"/>
  <c r="BI35" i="58"/>
  <c r="BI36" i="58"/>
  <c r="BI37" i="58"/>
  <c r="BI38" i="58"/>
  <c r="BI39" i="58"/>
  <c r="BI40" i="58"/>
  <c r="BI41" i="58"/>
  <c r="BI42" i="58"/>
  <c r="BI43" i="58"/>
  <c r="BI44" i="58"/>
  <c r="BI45" i="58"/>
  <c r="BI46" i="58"/>
  <c r="BI47" i="58"/>
  <c r="BI48" i="58"/>
  <c r="BI49" i="58"/>
  <c r="BI50" i="58"/>
  <c r="BI51" i="58"/>
  <c r="BI52" i="58"/>
  <c r="BI53" i="58"/>
  <c r="BI54" i="58"/>
  <c r="BI55" i="58"/>
  <c r="BI56" i="58"/>
  <c r="BI57" i="58"/>
  <c r="BI58" i="58"/>
  <c r="BI59" i="58"/>
  <c r="BI60" i="58"/>
  <c r="BI31" i="58"/>
  <c r="BH31" i="58"/>
  <c r="BG32" i="58"/>
  <c r="BG33" i="58"/>
  <c r="BG34" i="58"/>
  <c r="BG35" i="58"/>
  <c r="BG36" i="58"/>
  <c r="BG37" i="58"/>
  <c r="BG38" i="58"/>
  <c r="BG39" i="58"/>
  <c r="BG40" i="58"/>
  <c r="BG31" i="58"/>
  <c r="BH59" i="58"/>
  <c r="BH60" i="58"/>
  <c r="BH57" i="58"/>
  <c r="BH58" i="58"/>
  <c r="BH49" i="58"/>
  <c r="BH50" i="58"/>
  <c r="BH51" i="58"/>
  <c r="BH52" i="58"/>
  <c r="BH53" i="58"/>
  <c r="BH54" i="58"/>
  <c r="BH55" i="58"/>
  <c r="BH56" i="58"/>
  <c r="BH32" i="58"/>
  <c r="BH33" i="58"/>
  <c r="BH34" i="58"/>
  <c r="BH35" i="58"/>
  <c r="BH36" i="58"/>
  <c r="BH37" i="58"/>
  <c r="BH38" i="58"/>
  <c r="BH39" i="58"/>
  <c r="BH40" i="58"/>
  <c r="BH41" i="58"/>
  <c r="BH42" i="58"/>
  <c r="BH43" i="58"/>
  <c r="BH44" i="58"/>
  <c r="BH45" i="58"/>
  <c r="BH46" i="58"/>
  <c r="BH47" i="58"/>
  <c r="BH48" i="58"/>
  <c r="BF34" i="58"/>
  <c r="BF35" i="58"/>
  <c r="BF36" i="58"/>
  <c r="BF37" i="58"/>
  <c r="BF38" i="58"/>
  <c r="BF39" i="58"/>
  <c r="BF33" i="58"/>
  <c r="BF32" i="58"/>
  <c r="BF31" i="58"/>
  <c r="BG13" i="58"/>
  <c r="BY17" i="58"/>
  <c r="CE107" i="58" s="1"/>
  <c r="BX17" i="58"/>
  <c r="CE106" i="58" s="1"/>
  <c r="BW28" i="58"/>
  <c r="CE105" i="58" s="1"/>
  <c r="CE104" i="58"/>
  <c r="CE103" i="58"/>
  <c r="CE102" i="58"/>
  <c r="CE101" i="58"/>
  <c r="CE100" i="58"/>
  <c r="CE99" i="58"/>
  <c r="CE98" i="58"/>
  <c r="CE97" i="58"/>
  <c r="CE96" i="58"/>
  <c r="CE95" i="58"/>
  <c r="BW26" i="58"/>
  <c r="CE94" i="58" s="1"/>
  <c r="BW25" i="58"/>
  <c r="CE93" i="58" s="1"/>
  <c r="BW24" i="58"/>
  <c r="CE92" i="58" s="1"/>
  <c r="BW23" i="58"/>
  <c r="CE91" i="58" s="1"/>
  <c r="BW22" i="58"/>
  <c r="CE90" i="58" s="1"/>
  <c r="BW21" i="58"/>
  <c r="CE89" i="58" s="1"/>
  <c r="BW20" i="58"/>
  <c r="CE88" i="58" s="1"/>
  <c r="BW19" i="58"/>
  <c r="CE87" i="58" s="1"/>
  <c r="BW18" i="58"/>
  <c r="CE86" i="58" s="1"/>
  <c r="BW16" i="58"/>
  <c r="CE84" i="58" s="1"/>
  <c r="BW15" i="58"/>
  <c r="CE83" i="58" s="1"/>
  <c r="BW14" i="58"/>
  <c r="CE82" i="58" s="1"/>
  <c r="BW13" i="58"/>
  <c r="CE81" i="58" s="1"/>
  <c r="BW12" i="58"/>
  <c r="CE80" i="58" s="1"/>
  <c r="BV21" i="58"/>
  <c r="CE63" i="58" s="1"/>
  <c r="BV20" i="58"/>
  <c r="CE62" i="58" s="1"/>
  <c r="BV19" i="58"/>
  <c r="CE61" i="58" s="1"/>
  <c r="BV18" i="58"/>
  <c r="CE60" i="58" s="1"/>
  <c r="BV16" i="58"/>
  <c r="CE58" i="58" s="1"/>
  <c r="BV15" i="58"/>
  <c r="CE57" i="58" s="1"/>
  <c r="BV28" i="58"/>
  <c r="CE79" i="58" s="1"/>
  <c r="CE78" i="58"/>
  <c r="CE77" i="58"/>
  <c r="CE76" i="58"/>
  <c r="CE75" i="58"/>
  <c r="CE74" i="58"/>
  <c r="CE73" i="58"/>
  <c r="CE72" i="58"/>
  <c r="CE71" i="58"/>
  <c r="CE70" i="58"/>
  <c r="CE69" i="58"/>
  <c r="BV26" i="58"/>
  <c r="CE68" i="58" s="1"/>
  <c r="BV25" i="58"/>
  <c r="CE67" i="58" s="1"/>
  <c r="BV24" i="58"/>
  <c r="CE66" i="58" s="1"/>
  <c r="BV23" i="58"/>
  <c r="CE65" i="58" s="1"/>
  <c r="BV22" i="58"/>
  <c r="CE64" i="58" s="1"/>
  <c r="BV12" i="58"/>
  <c r="CE54" i="58" s="1"/>
  <c r="BT12" i="58"/>
  <c r="CE11" i="58" s="1"/>
  <c r="CE52" i="58"/>
  <c r="CE51" i="58"/>
  <c r="CE50" i="58"/>
  <c r="CE49" i="58"/>
  <c r="CE48" i="58"/>
  <c r="CE47" i="58"/>
  <c r="CE46" i="58"/>
  <c r="CE45" i="58"/>
  <c r="CE44" i="58"/>
  <c r="CE43" i="58"/>
  <c r="BU26" i="58"/>
  <c r="CE42" i="58" s="1"/>
  <c r="BU25" i="58"/>
  <c r="CE41" i="58" s="1"/>
  <c r="BU24" i="58"/>
  <c r="CE40" i="58" s="1"/>
  <c r="BU23" i="58"/>
  <c r="CE39" i="58" s="1"/>
  <c r="BU22" i="58"/>
  <c r="CE38" i="58" s="1"/>
  <c r="BU21" i="58"/>
  <c r="CE37" i="58" s="1"/>
  <c r="BU20" i="58"/>
  <c r="CE36" i="58" s="1"/>
  <c r="BU19" i="58"/>
  <c r="CE35" i="58" s="1"/>
  <c r="BU18" i="58"/>
  <c r="CE34" i="58" s="1"/>
  <c r="BU16" i="58"/>
  <c r="CE32" i="58" s="1"/>
  <c r="BU15" i="58"/>
  <c r="CE31" i="58" s="1"/>
  <c r="BU14" i="58"/>
  <c r="CE30" i="58" s="1"/>
  <c r="BU13" i="58"/>
  <c r="CE29" i="58" s="1"/>
  <c r="BU12" i="58"/>
  <c r="CE28" i="58" s="1"/>
  <c r="BT28" i="58"/>
  <c r="BR28" i="58"/>
  <c r="BQ28" i="58"/>
  <c r="BP28" i="58"/>
  <c r="BO28" i="58"/>
  <c r="BN28" i="58"/>
  <c r="BM28" i="58"/>
  <c r="BL28" i="58"/>
  <c r="BK28" i="58"/>
  <c r="BJ28" i="58"/>
  <c r="BI28" i="58"/>
  <c r="BH28" i="58"/>
  <c r="BG28" i="58"/>
  <c r="CE26" i="58"/>
  <c r="BT26" i="58"/>
  <c r="CE25" i="58" s="1"/>
  <c r="BT25" i="58"/>
  <c r="CE24" i="58" s="1"/>
  <c r="BT24" i="58"/>
  <c r="CE23" i="58" s="1"/>
  <c r="BT23" i="58"/>
  <c r="CE22" i="58" s="1"/>
  <c r="BT22" i="58"/>
  <c r="CE21" i="58" s="1"/>
  <c r="BT21" i="58"/>
  <c r="CE20" i="58" s="1"/>
  <c r="BT18" i="58"/>
  <c r="CE17" i="58" s="1"/>
  <c r="BT16" i="58"/>
  <c r="CE15" i="58" s="1"/>
  <c r="BT15" i="58"/>
  <c r="CE14" i="58" s="1"/>
  <c r="BT14" i="58"/>
  <c r="CE13" i="58" s="1"/>
  <c r="BT13" i="58"/>
  <c r="CE12" i="58" s="1"/>
  <c r="BR26" i="58"/>
  <c r="BR25" i="58"/>
  <c r="BQ26" i="58"/>
  <c r="BP26" i="58"/>
  <c r="BO26" i="58"/>
  <c r="BN26" i="58"/>
  <c r="BM26" i="58"/>
  <c r="BL26" i="58"/>
  <c r="BK26" i="58"/>
  <c r="BJ26" i="58"/>
  <c r="BI26" i="58"/>
  <c r="BH26" i="58"/>
  <c r="BG26" i="58"/>
  <c r="BQ25" i="58"/>
  <c r="BP25" i="58"/>
  <c r="BO25" i="58"/>
  <c r="BN25" i="58"/>
  <c r="BM25" i="58"/>
  <c r="BL25" i="58"/>
  <c r="BK25" i="58"/>
  <c r="BJ25" i="58"/>
  <c r="BI25" i="58"/>
  <c r="BH25" i="58"/>
  <c r="BG25" i="58"/>
  <c r="BR24" i="58"/>
  <c r="BQ24" i="58"/>
  <c r="BP24" i="58"/>
  <c r="BO24" i="58"/>
  <c r="BN24" i="58"/>
  <c r="BM24" i="58"/>
  <c r="BL24" i="58"/>
  <c r="BK24" i="58"/>
  <c r="BJ24" i="58"/>
  <c r="BI24" i="58"/>
  <c r="BH24" i="58"/>
  <c r="BG24" i="58"/>
  <c r="BR23" i="58"/>
  <c r="BQ23" i="58"/>
  <c r="BP23" i="58"/>
  <c r="BO23" i="58"/>
  <c r="BN23" i="58"/>
  <c r="BM23" i="58"/>
  <c r="BL23" i="58"/>
  <c r="BK23" i="58"/>
  <c r="BJ23" i="58"/>
  <c r="BI23" i="58"/>
  <c r="BH23" i="58"/>
  <c r="BG23" i="58"/>
  <c r="BR22" i="58"/>
  <c r="BQ22" i="58"/>
  <c r="BP22" i="58"/>
  <c r="BO22" i="58"/>
  <c r="BN22" i="58"/>
  <c r="BM22" i="58"/>
  <c r="BL22" i="58"/>
  <c r="BK22" i="58"/>
  <c r="BJ22" i="58"/>
  <c r="BI22" i="58"/>
  <c r="BH22" i="58"/>
  <c r="BR21" i="58"/>
  <c r="BQ21" i="58"/>
  <c r="BP21" i="58"/>
  <c r="BO21" i="58"/>
  <c r="BN21" i="58"/>
  <c r="BM21" i="58"/>
  <c r="BL21" i="58"/>
  <c r="BK21" i="58"/>
  <c r="BJ21" i="58"/>
  <c r="BI21" i="58"/>
  <c r="BH21" i="58"/>
  <c r="BG21" i="58"/>
  <c r="BR20" i="58"/>
  <c r="BQ20" i="58"/>
  <c r="BP20" i="58"/>
  <c r="BO20" i="58"/>
  <c r="BN20" i="58"/>
  <c r="BM20" i="58"/>
  <c r="BL20" i="58"/>
  <c r="BK20" i="58"/>
  <c r="BJ20" i="58"/>
  <c r="BI20" i="58"/>
  <c r="BH20" i="58"/>
  <c r="BG20" i="58"/>
  <c r="BR19" i="58"/>
  <c r="BQ19" i="58"/>
  <c r="BP19" i="58"/>
  <c r="BO19" i="58"/>
  <c r="BN19" i="58"/>
  <c r="BM19" i="58"/>
  <c r="BL19" i="58"/>
  <c r="BK19" i="58"/>
  <c r="BJ19" i="58"/>
  <c r="BI19" i="58"/>
  <c r="BH19" i="58"/>
  <c r="BG19" i="58"/>
  <c r="BR18" i="58"/>
  <c r="BQ18" i="58"/>
  <c r="BP18" i="58"/>
  <c r="BO18" i="58"/>
  <c r="BN18" i="58"/>
  <c r="BM18" i="58"/>
  <c r="BL18" i="58"/>
  <c r="BK18" i="58"/>
  <c r="BJ18" i="58"/>
  <c r="BI18" i="58"/>
  <c r="BH18" i="58"/>
  <c r="BG18" i="58"/>
  <c r="BR17" i="58"/>
  <c r="BQ17" i="58"/>
  <c r="BP17" i="58"/>
  <c r="BO17" i="58"/>
  <c r="BN17" i="58"/>
  <c r="BM17" i="58"/>
  <c r="BL17" i="58"/>
  <c r="BK17" i="58"/>
  <c r="BJ17" i="58"/>
  <c r="BI17" i="58"/>
  <c r="BH17" i="58"/>
  <c r="BG17" i="58"/>
  <c r="BR16" i="58"/>
  <c r="BQ16" i="58"/>
  <c r="BP16" i="58"/>
  <c r="BO16" i="58"/>
  <c r="BN16" i="58"/>
  <c r="BM16" i="58"/>
  <c r="BL16" i="58"/>
  <c r="BK16" i="58"/>
  <c r="BJ16" i="58"/>
  <c r="BI16" i="58"/>
  <c r="BH16" i="58"/>
  <c r="BG16" i="58"/>
  <c r="BG14" i="58"/>
  <c r="BR14" i="58"/>
  <c r="BR13" i="58"/>
  <c r="BR12" i="58"/>
  <c r="BQ14" i="58"/>
  <c r="BQ13" i="58"/>
  <c r="BQ12" i="58"/>
  <c r="BP14" i="58"/>
  <c r="BP13" i="58"/>
  <c r="BP12" i="58"/>
  <c r="BO14" i="58"/>
  <c r="BO13" i="58"/>
  <c r="BO12" i="58"/>
  <c r="BN14" i="58"/>
  <c r="BN13" i="58"/>
  <c r="BN12" i="58"/>
  <c r="BM14" i="58"/>
  <c r="BM13" i="58"/>
  <c r="BM12" i="58"/>
  <c r="BL14" i="58"/>
  <c r="BL13" i="58"/>
  <c r="BL12" i="58"/>
  <c r="BK14" i="58"/>
  <c r="BK13" i="58"/>
  <c r="BK12" i="58"/>
  <c r="BJ14" i="58"/>
  <c r="BJ13" i="58"/>
  <c r="BJ12" i="58"/>
  <c r="BI14" i="58"/>
  <c r="BI13" i="58"/>
  <c r="BI12" i="58"/>
  <c r="BH12" i="58"/>
  <c r="BH13" i="58"/>
  <c r="BH14" i="58"/>
  <c r="C12" i="56"/>
  <c r="BI106" i="65"/>
  <c r="BI110" i="65"/>
  <c r="H4" i="2"/>
  <c r="P11" i="62"/>
  <c r="P12" i="62"/>
  <c r="P14" i="62"/>
  <c r="T12" i="63"/>
  <c r="T38" i="63" s="1"/>
  <c r="N11" i="66"/>
  <c r="N12" i="66"/>
  <c r="N14" i="66"/>
  <c r="E3" i="2"/>
  <c r="Q3" i="2"/>
  <c r="J4" i="2"/>
  <c r="M4" i="2"/>
  <c r="O4" i="2"/>
  <c r="T4" i="2"/>
  <c r="AD23" i="2"/>
  <c r="CY25" i="2"/>
  <c r="AD24" i="2"/>
  <c r="AE24" i="2"/>
  <c r="CY26" i="2"/>
  <c r="CY27" i="2"/>
  <c r="CY29" i="2"/>
  <c r="CY30" i="2"/>
  <c r="CY31" i="2"/>
  <c r="CY32" i="2"/>
  <c r="CY33" i="2"/>
  <c r="CY34" i="2"/>
  <c r="A2" i="58"/>
  <c r="B2" i="58"/>
  <c r="C2" i="58"/>
  <c r="D2" i="58"/>
  <c r="E2" i="58"/>
  <c r="F2" i="58"/>
  <c r="G2" i="58"/>
  <c r="H2" i="58"/>
  <c r="I2" i="58"/>
  <c r="J2" i="58"/>
  <c r="K2" i="58"/>
  <c r="L2" i="58"/>
  <c r="M2" i="58"/>
  <c r="N2" i="58"/>
  <c r="O2" i="58"/>
  <c r="P2" i="58"/>
  <c r="Q2" i="58"/>
  <c r="R2" i="58"/>
  <c r="A3" i="58"/>
  <c r="B3" i="58"/>
  <c r="C3" i="58"/>
  <c r="D3" i="58"/>
  <c r="E3" i="58"/>
  <c r="F3" i="58"/>
  <c r="G3" i="58"/>
  <c r="H3" i="58"/>
  <c r="I3" i="58"/>
  <c r="J3" i="58"/>
  <c r="K3" i="58"/>
  <c r="L3" i="58"/>
  <c r="M3" i="58"/>
  <c r="N3" i="58"/>
  <c r="O3" i="58"/>
  <c r="P3" i="58"/>
  <c r="Q3" i="58"/>
  <c r="R3" i="58"/>
  <c r="C166" i="58"/>
  <c r="C209" i="58" s="1"/>
  <c r="C38" i="58"/>
  <c r="C81" i="58" s="1"/>
  <c r="F5" i="58"/>
  <c r="F38" i="58" s="1"/>
  <c r="F81" i="58" s="1"/>
  <c r="H5" i="58"/>
  <c r="H38" i="58" s="1"/>
  <c r="H81" i="58" s="1"/>
  <c r="K5" i="58"/>
  <c r="K38" i="58" s="1"/>
  <c r="K81" i="58" s="1"/>
  <c r="N5" i="58"/>
  <c r="N167" i="58" s="1"/>
  <c r="N210" i="58" s="1"/>
  <c r="P5" i="58"/>
  <c r="P124" i="58" s="1"/>
  <c r="S5" i="58"/>
  <c r="S124" i="58" s="1"/>
  <c r="W38" i="58"/>
  <c r="W81" i="58" s="1"/>
  <c r="W124" i="58" s="1"/>
  <c r="W167" i="58" s="1"/>
  <c r="W210" i="58" s="1"/>
  <c r="Y38" i="58"/>
  <c r="Y81" i="58" s="1"/>
  <c r="Y124" i="58" s="1"/>
  <c r="Y167" i="58" s="1"/>
  <c r="Y210" i="58" s="1"/>
  <c r="Y6" i="58"/>
  <c r="Y39" i="58" s="1"/>
  <c r="Y82" i="58" s="1"/>
  <c r="Y125" i="58" s="1"/>
  <c r="Y168" i="58" s="1"/>
  <c r="Y211" i="58" s="1"/>
  <c r="BC13" i="58"/>
  <c r="BE13" i="58" s="1"/>
  <c r="BB14" i="58"/>
  <c r="BD14" i="58" s="1"/>
  <c r="BC14" i="58"/>
  <c r="BE14" i="58" s="1"/>
  <c r="BB15" i="58"/>
  <c r="BD15" i="58" s="1"/>
  <c r="BC15" i="58"/>
  <c r="BE15" i="58" s="1"/>
  <c r="BB16" i="58"/>
  <c r="BD16" i="58" s="1"/>
  <c r="BC16" i="58"/>
  <c r="BE16" i="58" s="1"/>
  <c r="BB17" i="58"/>
  <c r="BD17" i="58" s="1"/>
  <c r="BC17" i="58"/>
  <c r="BE17" i="58" s="1"/>
  <c r="BB18" i="58"/>
  <c r="BD18" i="58" s="1"/>
  <c r="BC18" i="58"/>
  <c r="BE18" i="58" s="1"/>
  <c r="BB19" i="58"/>
  <c r="BD19" i="58" s="1"/>
  <c r="BC19" i="58"/>
  <c r="BE19" i="58" s="1"/>
  <c r="BB20" i="58"/>
  <c r="BD20" i="58" s="1"/>
  <c r="BC20" i="58"/>
  <c r="BE20" i="58" s="1"/>
  <c r="BB21" i="58"/>
  <c r="BD21" i="58" s="1"/>
  <c r="BC21" i="58"/>
  <c r="BE21" i="58" s="1"/>
  <c r="BB22" i="58"/>
  <c r="BD22" i="58" s="1"/>
  <c r="BC22" i="58"/>
  <c r="BE22" i="58" s="1"/>
  <c r="BB23" i="58"/>
  <c r="BD23" i="58" s="1"/>
  <c r="BC23" i="58"/>
  <c r="BE23" i="58" s="1"/>
  <c r="BB24" i="58"/>
  <c r="BD24" i="58" s="1"/>
  <c r="BC24" i="58"/>
  <c r="BE24" i="58" s="1"/>
  <c r="BB25" i="58"/>
  <c r="BD25" i="58" s="1"/>
  <c r="BC25" i="58"/>
  <c r="BE25" i="58" s="1"/>
  <c r="BB26" i="58"/>
  <c r="BD26" i="58" s="1"/>
  <c r="BC26" i="58"/>
  <c r="BE26" i="58" s="1"/>
  <c r="BB28" i="58"/>
  <c r="BD28" i="58" s="1"/>
  <c r="BC28" i="58"/>
  <c r="BE28" i="58" s="1"/>
  <c r="BB29" i="58"/>
  <c r="BD29" i="58" s="1"/>
  <c r="BC29" i="58"/>
  <c r="BE29" i="58" s="1"/>
  <c r="BB30" i="58"/>
  <c r="BD30" i="58" s="1"/>
  <c r="BC30" i="58"/>
  <c r="BE30" i="58" s="1"/>
  <c r="BB31" i="58"/>
  <c r="BD31" i="58" s="1"/>
  <c r="BC31" i="58"/>
  <c r="BE31" i="58" s="1"/>
  <c r="BB32" i="58"/>
  <c r="BD32" i="58" s="1"/>
  <c r="BC32" i="58"/>
  <c r="BE32" i="58" s="1"/>
  <c r="BB33" i="58"/>
  <c r="BD33" i="58" s="1"/>
  <c r="BC33" i="58"/>
  <c r="BE33" i="58" s="1"/>
  <c r="BB34" i="58"/>
  <c r="BD34" i="58" s="1"/>
  <c r="BC34" i="58"/>
  <c r="BE34" i="58" s="1"/>
  <c r="A35" i="58"/>
  <c r="B35" i="58"/>
  <c r="C35" i="58"/>
  <c r="D35" i="58"/>
  <c r="E35" i="58"/>
  <c r="F35" i="58"/>
  <c r="G35" i="58"/>
  <c r="H35" i="58"/>
  <c r="I35" i="58"/>
  <c r="J35" i="58"/>
  <c r="K35" i="58"/>
  <c r="L35" i="58"/>
  <c r="M35" i="58"/>
  <c r="N35" i="58"/>
  <c r="O35" i="58"/>
  <c r="P35" i="58"/>
  <c r="Q35" i="58"/>
  <c r="R35" i="58"/>
  <c r="BB35" i="58"/>
  <c r="BD35" i="58" s="1"/>
  <c r="BC35" i="58"/>
  <c r="BE35" i="58" s="1"/>
  <c r="A36" i="58"/>
  <c r="B36" i="58"/>
  <c r="C36" i="58"/>
  <c r="D36" i="58"/>
  <c r="E36" i="58"/>
  <c r="F36" i="58"/>
  <c r="G36" i="58"/>
  <c r="H36" i="58"/>
  <c r="I36" i="58"/>
  <c r="J36" i="58"/>
  <c r="K36" i="58"/>
  <c r="L36" i="58"/>
  <c r="M36" i="58"/>
  <c r="N36" i="58"/>
  <c r="O36" i="58"/>
  <c r="P36" i="58"/>
  <c r="Q36" i="58"/>
  <c r="R36" i="58"/>
  <c r="BB36" i="58"/>
  <c r="BD36" i="58" s="1"/>
  <c r="BC36" i="58"/>
  <c r="BE36" i="58" s="1"/>
  <c r="BB37" i="58"/>
  <c r="BD37" i="58" s="1"/>
  <c r="BC37" i="58"/>
  <c r="BE37" i="58" s="1"/>
  <c r="BB38" i="58"/>
  <c r="BD38" i="58" s="1"/>
  <c r="BC38" i="58"/>
  <c r="BE38" i="58" s="1"/>
  <c r="BB39" i="58"/>
  <c r="BD39" i="58" s="1"/>
  <c r="BC39" i="58"/>
  <c r="BE39" i="58" s="1"/>
  <c r="BB40" i="58"/>
  <c r="BD40" i="58" s="1"/>
  <c r="BC40" i="58"/>
  <c r="BE40" i="58" s="1"/>
  <c r="BB41" i="58"/>
  <c r="BD41" i="58" s="1"/>
  <c r="BC41" i="58"/>
  <c r="BE41" i="58" s="1"/>
  <c r="BB42" i="58"/>
  <c r="BD42" i="58" s="1"/>
  <c r="BC42" i="58"/>
  <c r="BE42" i="58" s="1"/>
  <c r="BB43" i="58"/>
  <c r="BD43" i="58" s="1"/>
  <c r="BC43" i="58"/>
  <c r="BE43" i="58" s="1"/>
  <c r="BB44" i="58"/>
  <c r="BD44" i="58" s="1"/>
  <c r="BC44" i="58"/>
  <c r="BE44" i="58" s="1"/>
  <c r="BB45" i="58"/>
  <c r="BD45" i="58" s="1"/>
  <c r="BC45" i="58"/>
  <c r="BE45" i="58" s="1"/>
  <c r="BB46" i="58"/>
  <c r="BD46" i="58" s="1"/>
  <c r="BC46" i="58"/>
  <c r="BE46" i="58" s="1"/>
  <c r="BB47" i="58"/>
  <c r="BD47" i="58" s="1"/>
  <c r="BC47" i="58"/>
  <c r="BE47" i="58" s="1"/>
  <c r="BB48" i="58"/>
  <c r="BD48" i="58" s="1"/>
  <c r="BC48" i="58"/>
  <c r="BE48" i="58" s="1"/>
  <c r="BB49" i="58"/>
  <c r="BD49" i="58" s="1"/>
  <c r="BC49" i="58"/>
  <c r="BE49" i="58" s="1"/>
  <c r="BB50" i="58"/>
  <c r="BD50" i="58" s="1"/>
  <c r="BC50" i="58"/>
  <c r="BE50" i="58" s="1"/>
  <c r="BB51" i="58"/>
  <c r="BD51" i="58" s="1"/>
  <c r="BC51" i="58"/>
  <c r="BE51" i="58" s="1"/>
  <c r="BB52" i="58"/>
  <c r="BD52" i="58" s="1"/>
  <c r="BC52" i="58"/>
  <c r="BE52" i="58" s="1"/>
  <c r="BB53" i="58"/>
  <c r="BD53" i="58" s="1"/>
  <c r="BC53" i="58"/>
  <c r="BE53" i="58" s="1"/>
  <c r="BD54" i="58"/>
  <c r="BC54" i="58"/>
  <c r="BE54" i="58" s="1"/>
  <c r="BB55" i="58"/>
  <c r="BD55" i="58" s="1"/>
  <c r="BC55" i="58"/>
  <c r="BE55" i="58" s="1"/>
  <c r="BB56" i="58"/>
  <c r="BD56" i="58" s="1"/>
  <c r="BC56" i="58"/>
  <c r="BE56" i="58" s="1"/>
  <c r="BB57" i="58"/>
  <c r="BD57" i="58" s="1"/>
  <c r="BC57" i="58"/>
  <c r="BE57" i="58" s="1"/>
  <c r="BB58" i="58"/>
  <c r="BD58" i="58" s="1"/>
  <c r="BC58" i="58"/>
  <c r="BE58" i="58" s="1"/>
  <c r="BB59" i="58"/>
  <c r="BD59" i="58" s="1"/>
  <c r="BC59" i="58"/>
  <c r="BE59" i="58" s="1"/>
  <c r="BB60" i="58"/>
  <c r="BD60" i="58" s="1"/>
  <c r="BC60" i="58"/>
  <c r="BE60" i="58" s="1"/>
  <c r="BB61" i="58"/>
  <c r="BD61" i="58" s="1"/>
  <c r="BC61" i="58"/>
  <c r="BE61" i="58" s="1"/>
  <c r="BB62" i="58"/>
  <c r="BD62" i="58" s="1"/>
  <c r="BC62" i="58"/>
  <c r="BE62" i="58" s="1"/>
  <c r="BB63" i="58"/>
  <c r="BD63" i="58" s="1"/>
  <c r="BC63" i="58"/>
  <c r="BE63" i="58" s="1"/>
  <c r="BB64" i="58"/>
  <c r="BD64" i="58" s="1"/>
  <c r="BC64" i="58"/>
  <c r="BE64" i="58" s="1"/>
  <c r="BB65" i="58"/>
  <c r="BD65" i="58" s="1"/>
  <c r="BC65" i="58"/>
  <c r="BE65" i="58" s="1"/>
  <c r="BB66" i="58"/>
  <c r="BD66" i="58" s="1"/>
  <c r="BC66" i="58"/>
  <c r="BE66" i="58" s="1"/>
  <c r="BB67" i="58"/>
  <c r="BD67" i="58" s="1"/>
  <c r="BC67" i="58"/>
  <c r="BE67" i="58" s="1"/>
  <c r="BB68" i="58"/>
  <c r="BD68" i="58" s="1"/>
  <c r="BC68" i="58"/>
  <c r="BE68" i="58" s="1"/>
  <c r="BB69" i="58"/>
  <c r="BD69" i="58" s="1"/>
  <c r="BC69" i="58"/>
  <c r="BE69" i="58" s="1"/>
  <c r="BB70" i="58"/>
  <c r="BD70" i="58" s="1"/>
  <c r="BC70" i="58"/>
  <c r="BE70" i="58" s="1"/>
  <c r="BB71" i="58"/>
  <c r="BD71" i="58" s="1"/>
  <c r="BC71" i="58"/>
  <c r="BE71" i="58" s="1"/>
  <c r="BB72" i="58"/>
  <c r="BD72" i="58" s="1"/>
  <c r="BC72" i="58"/>
  <c r="BE72" i="58" s="1"/>
  <c r="BB73" i="58"/>
  <c r="BD73" i="58" s="1"/>
  <c r="BC73" i="58"/>
  <c r="BE73" i="58" s="1"/>
  <c r="BB74" i="58"/>
  <c r="BD74" i="58" s="1"/>
  <c r="BC74" i="58"/>
  <c r="BE74" i="58" s="1"/>
  <c r="BB75" i="58"/>
  <c r="BD75" i="58" s="1"/>
  <c r="BC75" i="58"/>
  <c r="BE75" i="58" s="1"/>
  <c r="BB76" i="58"/>
  <c r="BD76" i="58" s="1"/>
  <c r="BC76" i="58"/>
  <c r="BE76" i="58" s="1"/>
  <c r="BB77" i="58"/>
  <c r="BD77" i="58" s="1"/>
  <c r="BC77" i="58"/>
  <c r="BE77" i="58" s="1"/>
  <c r="A78" i="58"/>
  <c r="B78" i="58"/>
  <c r="C78" i="58"/>
  <c r="D78" i="58"/>
  <c r="E78" i="58"/>
  <c r="F78" i="58"/>
  <c r="G78" i="58"/>
  <c r="H78" i="58"/>
  <c r="I78" i="58"/>
  <c r="J78" i="58"/>
  <c r="K78" i="58"/>
  <c r="L78" i="58"/>
  <c r="M78" i="58"/>
  <c r="N78" i="58"/>
  <c r="O78" i="58"/>
  <c r="P78" i="58"/>
  <c r="Q78" i="58"/>
  <c r="R78" i="58"/>
  <c r="BB78" i="58"/>
  <c r="BD78" i="58" s="1"/>
  <c r="BC78" i="58"/>
  <c r="BE78" i="58" s="1"/>
  <c r="A79" i="58"/>
  <c r="B79" i="58"/>
  <c r="C79" i="58"/>
  <c r="D79" i="58"/>
  <c r="E79" i="58"/>
  <c r="F79" i="58"/>
  <c r="G79" i="58"/>
  <c r="H79" i="58"/>
  <c r="I79" i="58"/>
  <c r="J79" i="58"/>
  <c r="K79" i="58"/>
  <c r="L79" i="58"/>
  <c r="M79" i="58"/>
  <c r="N79" i="58"/>
  <c r="O79" i="58"/>
  <c r="P79" i="58"/>
  <c r="Q79" i="58"/>
  <c r="R79" i="58"/>
  <c r="BB79" i="58"/>
  <c r="BD79" i="58" s="1"/>
  <c r="BC79" i="58"/>
  <c r="BE79" i="58" s="1"/>
  <c r="BB80" i="58"/>
  <c r="BD80" i="58" s="1"/>
  <c r="BC80" i="58"/>
  <c r="BE80" i="58" s="1"/>
  <c r="BB81" i="58"/>
  <c r="BD81" i="58" s="1"/>
  <c r="BC81" i="58"/>
  <c r="BE81" i="58" s="1"/>
  <c r="BB82" i="58"/>
  <c r="BD82" i="58" s="1"/>
  <c r="BC82" i="58"/>
  <c r="BE82" i="58" s="1"/>
  <c r="BB83" i="58"/>
  <c r="BD83" i="58" s="1"/>
  <c r="BC83" i="58"/>
  <c r="BE83" i="58" s="1"/>
  <c r="BB84" i="58"/>
  <c r="BD84" i="58" s="1"/>
  <c r="BC84" i="58"/>
  <c r="BE84" i="58" s="1"/>
  <c r="BB85" i="58"/>
  <c r="BD85" i="58" s="1"/>
  <c r="BC85" i="58"/>
  <c r="BE85" i="58" s="1"/>
  <c r="BB86" i="58"/>
  <c r="BD86" i="58" s="1"/>
  <c r="BC86" i="58"/>
  <c r="BE86" i="58" s="1"/>
  <c r="BB87" i="58"/>
  <c r="BD87" i="58" s="1"/>
  <c r="BC87" i="58"/>
  <c r="BE87" i="58" s="1"/>
  <c r="BB88" i="58"/>
  <c r="BD88" i="58" s="1"/>
  <c r="BC88" i="58"/>
  <c r="BE88" i="58" s="1"/>
  <c r="BB89" i="58"/>
  <c r="BD89" i="58" s="1"/>
  <c r="BC89" i="58"/>
  <c r="BE89" i="58" s="1"/>
  <c r="BB90" i="58"/>
  <c r="BD90" i="58" s="1"/>
  <c r="BC90" i="58"/>
  <c r="BE90" i="58" s="1"/>
  <c r="BB91" i="58"/>
  <c r="BD91" i="58" s="1"/>
  <c r="BC91" i="58"/>
  <c r="BE91" i="58" s="1"/>
  <c r="BB92" i="58"/>
  <c r="BD92" i="58" s="1"/>
  <c r="BC92" i="58"/>
  <c r="BE92" i="58" s="1"/>
  <c r="BB93" i="58"/>
  <c r="BD93" i="58" s="1"/>
  <c r="BC93" i="58"/>
  <c r="BE93" i="58" s="1"/>
  <c r="BB94" i="58"/>
  <c r="BD94" i="58" s="1"/>
  <c r="BC94" i="58"/>
  <c r="BE94" i="58" s="1"/>
  <c r="BB95" i="58"/>
  <c r="BD95" i="58" s="1"/>
  <c r="BC95" i="58"/>
  <c r="BE95" i="58" s="1"/>
  <c r="BB96" i="58"/>
  <c r="BD96" i="58" s="1"/>
  <c r="BC96" i="58"/>
  <c r="BE96" i="58" s="1"/>
  <c r="BB97" i="58"/>
  <c r="BD97" i="58" s="1"/>
  <c r="BC97" i="58"/>
  <c r="BE97" i="58" s="1"/>
  <c r="BB98" i="58"/>
  <c r="BD98" i="58" s="1"/>
  <c r="BC98" i="58"/>
  <c r="BE98" i="58" s="1"/>
  <c r="BB99" i="58"/>
  <c r="BD99" i="58" s="1"/>
  <c r="BC99" i="58"/>
  <c r="BE99" i="58" s="1"/>
  <c r="BB100" i="58"/>
  <c r="BD100" i="58" s="1"/>
  <c r="BC100" i="58"/>
  <c r="BE100" i="58" s="1"/>
  <c r="BB101" i="58"/>
  <c r="BD101" i="58" s="1"/>
  <c r="BC101" i="58"/>
  <c r="BE101" i="58" s="1"/>
  <c r="BB102" i="58"/>
  <c r="BD102" i="58" s="1"/>
  <c r="BC102" i="58"/>
  <c r="BE102" i="58" s="1"/>
  <c r="BB103" i="58"/>
  <c r="BD103" i="58" s="1"/>
  <c r="BC103" i="58"/>
  <c r="BE103" i="58" s="1"/>
  <c r="BB104" i="58"/>
  <c r="BD104" i="58" s="1"/>
  <c r="BC104" i="58"/>
  <c r="BE104" i="58" s="1"/>
  <c r="BB105" i="58"/>
  <c r="BD105" i="58" s="1"/>
  <c r="BC105" i="58"/>
  <c r="BE105" i="58" s="1"/>
  <c r="BB106" i="58"/>
  <c r="BD106" i="58" s="1"/>
  <c r="BC106" i="58"/>
  <c r="BE106" i="58" s="1"/>
  <c r="BB107" i="58"/>
  <c r="BD107" i="58" s="1"/>
  <c r="BC107" i="58"/>
  <c r="BE107" i="58" s="1"/>
  <c r="BB108" i="58"/>
  <c r="BD108" i="58" s="1"/>
  <c r="BC108" i="58"/>
  <c r="BE108" i="58" s="1"/>
  <c r="BB109" i="58"/>
  <c r="BD109" i="58" s="1"/>
  <c r="BC109" i="58"/>
  <c r="BE109" i="58" s="1"/>
  <c r="BB110" i="58"/>
  <c r="BD110" i="58" s="1"/>
  <c r="BC110" i="58"/>
  <c r="BE110" i="58" s="1"/>
  <c r="BB111" i="58"/>
  <c r="BD111" i="58" s="1"/>
  <c r="BC111" i="58"/>
  <c r="BE111" i="58" s="1"/>
  <c r="BB112" i="58"/>
  <c r="BD112" i="58" s="1"/>
  <c r="BC112" i="58"/>
  <c r="BE112" i="58" s="1"/>
  <c r="BB113" i="58"/>
  <c r="BD113" i="58" s="1"/>
  <c r="BC113" i="58"/>
  <c r="BE113" i="58" s="1"/>
  <c r="BB114" i="58"/>
  <c r="BD114" i="58" s="1"/>
  <c r="BC114" i="58"/>
  <c r="BE114" i="58" s="1"/>
  <c r="BB115" i="58"/>
  <c r="BD115" i="58" s="1"/>
  <c r="BC115" i="58"/>
  <c r="BE115" i="58" s="1"/>
  <c r="BB116" i="58"/>
  <c r="BD116" i="58" s="1"/>
  <c r="BC116" i="58"/>
  <c r="BE116" i="58" s="1"/>
  <c r="BB117" i="58"/>
  <c r="BD117" i="58" s="1"/>
  <c r="BC117" i="58"/>
  <c r="BE117" i="58" s="1"/>
  <c r="BB118" i="58"/>
  <c r="BD118" i="58" s="1"/>
  <c r="BC118" i="58"/>
  <c r="BE118" i="58" s="1"/>
  <c r="BB119" i="58"/>
  <c r="BD119" i="58" s="1"/>
  <c r="BC119" i="58"/>
  <c r="BE119" i="58" s="1"/>
  <c r="BB120" i="58"/>
  <c r="BD120" i="58" s="1"/>
  <c r="BC120" i="58"/>
  <c r="BE120" i="58" s="1"/>
  <c r="A121" i="58"/>
  <c r="B121" i="58"/>
  <c r="C121" i="58"/>
  <c r="D121" i="58"/>
  <c r="E121" i="58"/>
  <c r="F121" i="58"/>
  <c r="G121" i="58"/>
  <c r="H121" i="58"/>
  <c r="I121" i="58"/>
  <c r="J121" i="58"/>
  <c r="K121" i="58"/>
  <c r="L121" i="58"/>
  <c r="M121" i="58"/>
  <c r="N121" i="58"/>
  <c r="O121" i="58"/>
  <c r="P121" i="58"/>
  <c r="Q121" i="58"/>
  <c r="R121" i="58"/>
  <c r="BB121" i="58"/>
  <c r="BD121" i="58" s="1"/>
  <c r="BC121" i="58"/>
  <c r="BE121" i="58" s="1"/>
  <c r="A122" i="58"/>
  <c r="B122" i="58"/>
  <c r="C122" i="58"/>
  <c r="D122" i="58"/>
  <c r="E122" i="58"/>
  <c r="F122" i="58"/>
  <c r="G122" i="58"/>
  <c r="H122" i="58"/>
  <c r="I122" i="58"/>
  <c r="J122" i="58"/>
  <c r="K122" i="58"/>
  <c r="L122" i="58"/>
  <c r="M122" i="58"/>
  <c r="N122" i="58"/>
  <c r="O122" i="58"/>
  <c r="P122" i="58"/>
  <c r="Q122" i="58"/>
  <c r="R122" i="58"/>
  <c r="BB122" i="58"/>
  <c r="BD122" i="58" s="1"/>
  <c r="BC122" i="58"/>
  <c r="BE122" i="58" s="1"/>
  <c r="BB123" i="58"/>
  <c r="BD123" i="58" s="1"/>
  <c r="BC123" i="58"/>
  <c r="BE123" i="58" s="1"/>
  <c r="BB124" i="58"/>
  <c r="BD124" i="58" s="1"/>
  <c r="BC124" i="58"/>
  <c r="BE124" i="58" s="1"/>
  <c r="BB125" i="58"/>
  <c r="BD125" i="58" s="1"/>
  <c r="BC125" i="58"/>
  <c r="BE125" i="58" s="1"/>
  <c r="BB126" i="58"/>
  <c r="BD126" i="58" s="1"/>
  <c r="BC126" i="58"/>
  <c r="BE126" i="58" s="1"/>
  <c r="BB127" i="58"/>
  <c r="BD127" i="58" s="1"/>
  <c r="BC127" i="58"/>
  <c r="BE127" i="58" s="1"/>
  <c r="BB128" i="58"/>
  <c r="BD128" i="58" s="1"/>
  <c r="BC128" i="58"/>
  <c r="BE128" i="58" s="1"/>
  <c r="BB129" i="58"/>
  <c r="BD129" i="58" s="1"/>
  <c r="BC129" i="58"/>
  <c r="BE129" i="58" s="1"/>
  <c r="BB130" i="58"/>
  <c r="BD130" i="58" s="1"/>
  <c r="BC130" i="58"/>
  <c r="BE130" i="58" s="1"/>
  <c r="BB131" i="58"/>
  <c r="BD131" i="58" s="1"/>
  <c r="BC131" i="58"/>
  <c r="BE131" i="58" s="1"/>
  <c r="BB132" i="58"/>
  <c r="BD132" i="58" s="1"/>
  <c r="BC132" i="58"/>
  <c r="BE132" i="58" s="1"/>
  <c r="BB133" i="58"/>
  <c r="BD133" i="58" s="1"/>
  <c r="BC133" i="58"/>
  <c r="BE133" i="58" s="1"/>
  <c r="BB134" i="58"/>
  <c r="BD134" i="58" s="1"/>
  <c r="BC134" i="58"/>
  <c r="BE134" i="58" s="1"/>
  <c r="BB135" i="58"/>
  <c r="BD135" i="58" s="1"/>
  <c r="BC135" i="58"/>
  <c r="BE135" i="58" s="1"/>
  <c r="BB136" i="58"/>
  <c r="BD136" i="58" s="1"/>
  <c r="BC136" i="58"/>
  <c r="BE136" i="58" s="1"/>
  <c r="BB137" i="58"/>
  <c r="BD137" i="58" s="1"/>
  <c r="BC137" i="58"/>
  <c r="BE137" i="58" s="1"/>
  <c r="BB138" i="58"/>
  <c r="BD138" i="58" s="1"/>
  <c r="BC138" i="58"/>
  <c r="BE138" i="58" s="1"/>
  <c r="BB139" i="58"/>
  <c r="BD139" i="58" s="1"/>
  <c r="BC139" i="58"/>
  <c r="BE139" i="58" s="1"/>
  <c r="BB140" i="58"/>
  <c r="BD140" i="58" s="1"/>
  <c r="BC140" i="58"/>
  <c r="BE140" i="58" s="1"/>
  <c r="BB141" i="58"/>
  <c r="BD141" i="58" s="1"/>
  <c r="BC141" i="58"/>
  <c r="BE141" i="58" s="1"/>
  <c r="BB142" i="58"/>
  <c r="BD142" i="58" s="1"/>
  <c r="BC142" i="58"/>
  <c r="BE142" i="58" s="1"/>
  <c r="BB143" i="58"/>
  <c r="BD143" i="58" s="1"/>
  <c r="BC143" i="58"/>
  <c r="BE143" i="58" s="1"/>
  <c r="BB144" i="58"/>
  <c r="BD144" i="58" s="1"/>
  <c r="BC144" i="58"/>
  <c r="BE144" i="58" s="1"/>
  <c r="BB145" i="58"/>
  <c r="BD145" i="58" s="1"/>
  <c r="BC145" i="58"/>
  <c r="BE145" i="58" s="1"/>
  <c r="BB146" i="58"/>
  <c r="BD146" i="58" s="1"/>
  <c r="BC146" i="58"/>
  <c r="BE146" i="58" s="1"/>
  <c r="BB147" i="58"/>
  <c r="BD147" i="58" s="1"/>
  <c r="BC147" i="58"/>
  <c r="BE147" i="58" s="1"/>
  <c r="BB148" i="58"/>
  <c r="BD148" i="58" s="1"/>
  <c r="BC148" i="58"/>
  <c r="BE148" i="58" s="1"/>
  <c r="BB149" i="58"/>
  <c r="BD149" i="58" s="1"/>
  <c r="BC149" i="58"/>
  <c r="BE149" i="58" s="1"/>
  <c r="BB150" i="58"/>
  <c r="BD150" i="58" s="1"/>
  <c r="BC150" i="58"/>
  <c r="BE150" i="58" s="1"/>
  <c r="BB151" i="58"/>
  <c r="BD151" i="58" s="1"/>
  <c r="BC151" i="58"/>
  <c r="BE151" i="58" s="1"/>
  <c r="BB152" i="58"/>
  <c r="BD152" i="58" s="1"/>
  <c r="BC152" i="58"/>
  <c r="BE152" i="58" s="1"/>
  <c r="BB153" i="58"/>
  <c r="BD153" i="58" s="1"/>
  <c r="BC153" i="58"/>
  <c r="BE153" i="58" s="1"/>
  <c r="BB154" i="58"/>
  <c r="BD154" i="58" s="1"/>
  <c r="BC154" i="58"/>
  <c r="BE154" i="58" s="1"/>
  <c r="BB155" i="58"/>
  <c r="BD155" i="58" s="1"/>
  <c r="BC155" i="58"/>
  <c r="BE155" i="58" s="1"/>
  <c r="BB156" i="58"/>
  <c r="BD156" i="58" s="1"/>
  <c r="BC156" i="58"/>
  <c r="BE156" i="58" s="1"/>
  <c r="BB157" i="58"/>
  <c r="BD157" i="58" s="1"/>
  <c r="BC157" i="58"/>
  <c r="BE157" i="58" s="1"/>
  <c r="BB158" i="58"/>
  <c r="BD158" i="58" s="1"/>
  <c r="BC158" i="58"/>
  <c r="BE158" i="58" s="1"/>
  <c r="BB159" i="58"/>
  <c r="BD159" i="58" s="1"/>
  <c r="BC159" i="58"/>
  <c r="BE159" i="58" s="1"/>
  <c r="BB160" i="58"/>
  <c r="BD160" i="58" s="1"/>
  <c r="BC160" i="58"/>
  <c r="BE160" i="58" s="1"/>
  <c r="BB161" i="58"/>
  <c r="BD161" i="58" s="1"/>
  <c r="BC161" i="58"/>
  <c r="BE161" i="58" s="1"/>
  <c r="BB162" i="58"/>
  <c r="BD162" i="58" s="1"/>
  <c r="BC162" i="58"/>
  <c r="BE162" i="58" s="1"/>
  <c r="BB163" i="58"/>
  <c r="BD163" i="58" s="1"/>
  <c r="BC163" i="58"/>
  <c r="BE163" i="58" s="1"/>
  <c r="A164" i="58"/>
  <c r="B164" i="58"/>
  <c r="C164" i="58"/>
  <c r="D164" i="58"/>
  <c r="E164" i="58"/>
  <c r="F164" i="58"/>
  <c r="G164" i="58"/>
  <c r="H164" i="58"/>
  <c r="I164" i="58"/>
  <c r="J164" i="58"/>
  <c r="K164" i="58"/>
  <c r="L164" i="58"/>
  <c r="M164" i="58"/>
  <c r="N164" i="58"/>
  <c r="O164" i="58"/>
  <c r="P164" i="58"/>
  <c r="Q164" i="58"/>
  <c r="R164" i="58"/>
  <c r="BB164" i="58"/>
  <c r="BD164" i="58" s="1"/>
  <c r="BC164" i="58"/>
  <c r="BE164" i="58" s="1"/>
  <c r="A165" i="58"/>
  <c r="B165" i="58"/>
  <c r="C165" i="58"/>
  <c r="D165" i="58"/>
  <c r="E165" i="58"/>
  <c r="F165" i="58"/>
  <c r="G165" i="58"/>
  <c r="H165" i="58"/>
  <c r="I165" i="58"/>
  <c r="J165" i="58"/>
  <c r="K165" i="58"/>
  <c r="L165" i="58"/>
  <c r="M165" i="58"/>
  <c r="N165" i="58"/>
  <c r="O165" i="58"/>
  <c r="P165" i="58"/>
  <c r="Q165" i="58"/>
  <c r="R165" i="58"/>
  <c r="BB165" i="58"/>
  <c r="BD165" i="58" s="1"/>
  <c r="BC165" i="58"/>
  <c r="BE165" i="58" s="1"/>
  <c r="BB166" i="58"/>
  <c r="BD166" i="58" s="1"/>
  <c r="BC166" i="58"/>
  <c r="BE166" i="58" s="1"/>
  <c r="BB167" i="58"/>
  <c r="BD167" i="58" s="1"/>
  <c r="BC167" i="58"/>
  <c r="BE167" i="58" s="1"/>
  <c r="BB168" i="58"/>
  <c r="BD168" i="58" s="1"/>
  <c r="BC168" i="58"/>
  <c r="BE168" i="58" s="1"/>
  <c r="BB169" i="58"/>
  <c r="BD169" i="58" s="1"/>
  <c r="BC169" i="58"/>
  <c r="BE169" i="58" s="1"/>
  <c r="BB170" i="58"/>
  <c r="BD170" i="58" s="1"/>
  <c r="BC170" i="58"/>
  <c r="BE170" i="58" s="1"/>
  <c r="BB171" i="58"/>
  <c r="BD171" i="58" s="1"/>
  <c r="BC171" i="58"/>
  <c r="BE171" i="58" s="1"/>
  <c r="BB172" i="58"/>
  <c r="BD172" i="58" s="1"/>
  <c r="BC172" i="58"/>
  <c r="BE172" i="58" s="1"/>
  <c r="BB173" i="58"/>
  <c r="BD173" i="58" s="1"/>
  <c r="BC173" i="58"/>
  <c r="BE173" i="58" s="1"/>
  <c r="BB174" i="58"/>
  <c r="BD174" i="58" s="1"/>
  <c r="BC174" i="58"/>
  <c r="BE174" i="58" s="1"/>
  <c r="BB175" i="58"/>
  <c r="BD175" i="58" s="1"/>
  <c r="BC175" i="58"/>
  <c r="BE175" i="58" s="1"/>
  <c r="BB176" i="58"/>
  <c r="BD176" i="58" s="1"/>
  <c r="BC176" i="58"/>
  <c r="BE176" i="58" s="1"/>
  <c r="BB177" i="58"/>
  <c r="BD177" i="58" s="1"/>
  <c r="BC177" i="58"/>
  <c r="BE177" i="58" s="1"/>
  <c r="BB178" i="58"/>
  <c r="BD178" i="58" s="1"/>
  <c r="BC178" i="58"/>
  <c r="BE178" i="58" s="1"/>
  <c r="BB179" i="58"/>
  <c r="BD179" i="58" s="1"/>
  <c r="BC179" i="58"/>
  <c r="BE179" i="58" s="1"/>
  <c r="BB180" i="58"/>
  <c r="BD180" i="58" s="1"/>
  <c r="BC180" i="58"/>
  <c r="BE180" i="58" s="1"/>
  <c r="BB181" i="58"/>
  <c r="BD181" i="58" s="1"/>
  <c r="BC181" i="58"/>
  <c r="BE181" i="58" s="1"/>
  <c r="BB182" i="58"/>
  <c r="BD182" i="58" s="1"/>
  <c r="BC182" i="58"/>
  <c r="BE182" i="58" s="1"/>
  <c r="BB183" i="58"/>
  <c r="BD183" i="58" s="1"/>
  <c r="BC183" i="58"/>
  <c r="BE183" i="58" s="1"/>
  <c r="BB184" i="58"/>
  <c r="BD184" i="58" s="1"/>
  <c r="BC184" i="58"/>
  <c r="BE184" i="58" s="1"/>
  <c r="BB185" i="58"/>
  <c r="BD185" i="58" s="1"/>
  <c r="BC185" i="58"/>
  <c r="BE185" i="58" s="1"/>
  <c r="BB186" i="58"/>
  <c r="BD186" i="58" s="1"/>
  <c r="BC186" i="58"/>
  <c r="BE186" i="58" s="1"/>
  <c r="BB187" i="58"/>
  <c r="BD187" i="58" s="1"/>
  <c r="BC187" i="58"/>
  <c r="BE187" i="58" s="1"/>
  <c r="BB188" i="58"/>
  <c r="BD188" i="58" s="1"/>
  <c r="BC188" i="58"/>
  <c r="BE188" i="58" s="1"/>
  <c r="BB189" i="58"/>
  <c r="BD189" i="58" s="1"/>
  <c r="BC189" i="58"/>
  <c r="BE189" i="58" s="1"/>
  <c r="BB190" i="58"/>
  <c r="BD190" i="58" s="1"/>
  <c r="BC190" i="58"/>
  <c r="BE190" i="58" s="1"/>
  <c r="BB191" i="58"/>
  <c r="BD191" i="58" s="1"/>
  <c r="BC191" i="58"/>
  <c r="BE191" i="58" s="1"/>
  <c r="BB192" i="58"/>
  <c r="BD192" i="58" s="1"/>
  <c r="BC192" i="58"/>
  <c r="BE192" i="58" s="1"/>
  <c r="BB193" i="58"/>
  <c r="BD193" i="58" s="1"/>
  <c r="BC193" i="58"/>
  <c r="BE193" i="58" s="1"/>
  <c r="BB194" i="58"/>
  <c r="BD194" i="58" s="1"/>
  <c r="BC194" i="58"/>
  <c r="BE194" i="58" s="1"/>
  <c r="BB195" i="58"/>
  <c r="BD195" i="58" s="1"/>
  <c r="BC195" i="58"/>
  <c r="BE195" i="58" s="1"/>
  <c r="BB196" i="58"/>
  <c r="BD196" i="58" s="1"/>
  <c r="BC196" i="58"/>
  <c r="BE196" i="58" s="1"/>
  <c r="BB197" i="58"/>
  <c r="BD197" i="58" s="1"/>
  <c r="BC197" i="58"/>
  <c r="BE197" i="58" s="1"/>
  <c r="BB198" i="58"/>
  <c r="BD198" i="58" s="1"/>
  <c r="BC198" i="58"/>
  <c r="BE198" i="58" s="1"/>
  <c r="BB199" i="58"/>
  <c r="BD199" i="58" s="1"/>
  <c r="BC199" i="58"/>
  <c r="BE199" i="58" s="1"/>
  <c r="BB200" i="58"/>
  <c r="BD200" i="58" s="1"/>
  <c r="BC200" i="58"/>
  <c r="BE200" i="58" s="1"/>
  <c r="BB201" i="58"/>
  <c r="BD201" i="58" s="1"/>
  <c r="BC201" i="58"/>
  <c r="BE201" i="58" s="1"/>
  <c r="BB202" i="58"/>
  <c r="BD202" i="58" s="1"/>
  <c r="BC202" i="58"/>
  <c r="BE202" i="58" s="1"/>
  <c r="BB203" i="58"/>
  <c r="BD203" i="58" s="1"/>
  <c r="BC203" i="58"/>
  <c r="BE203" i="58" s="1"/>
  <c r="BB204" i="58"/>
  <c r="BD204" i="58" s="1"/>
  <c r="BC204" i="58"/>
  <c r="BE204" i="58" s="1"/>
  <c r="BB205" i="58"/>
  <c r="BD205" i="58" s="1"/>
  <c r="BC205" i="58"/>
  <c r="BE205" i="58" s="1"/>
  <c r="BB206" i="58"/>
  <c r="BD206" i="58" s="1"/>
  <c r="BC206" i="58"/>
  <c r="BE206" i="58" s="1"/>
  <c r="A207" i="58"/>
  <c r="B207" i="58"/>
  <c r="C207" i="58"/>
  <c r="D207" i="58"/>
  <c r="E207" i="58"/>
  <c r="F207" i="58"/>
  <c r="G207" i="58"/>
  <c r="H207" i="58"/>
  <c r="I207" i="58"/>
  <c r="J207" i="58"/>
  <c r="K207" i="58"/>
  <c r="L207" i="58"/>
  <c r="M207" i="58"/>
  <c r="N207" i="58"/>
  <c r="O207" i="58"/>
  <c r="P207" i="58"/>
  <c r="Q207" i="58"/>
  <c r="R207" i="58"/>
  <c r="BB207" i="58"/>
  <c r="BD207" i="58" s="1"/>
  <c r="BC207" i="58"/>
  <c r="BE207" i="58" s="1"/>
  <c r="A208" i="58"/>
  <c r="B208" i="58"/>
  <c r="C208" i="58"/>
  <c r="D208" i="58"/>
  <c r="E208" i="58"/>
  <c r="F208" i="58"/>
  <c r="G208" i="58"/>
  <c r="H208" i="58"/>
  <c r="I208" i="58"/>
  <c r="J208" i="58"/>
  <c r="K208" i="58"/>
  <c r="L208" i="58"/>
  <c r="M208" i="58"/>
  <c r="N208" i="58"/>
  <c r="O208" i="58"/>
  <c r="P208" i="58"/>
  <c r="Q208" i="58"/>
  <c r="R208" i="58"/>
  <c r="BB208" i="58"/>
  <c r="BD208" i="58" s="1"/>
  <c r="BC208" i="58"/>
  <c r="BE208" i="58" s="1"/>
  <c r="BB209" i="58"/>
  <c r="BD209" i="58" s="1"/>
  <c r="BC209" i="58"/>
  <c r="BE209" i="58" s="1"/>
  <c r="BB210" i="58"/>
  <c r="BD210" i="58" s="1"/>
  <c r="BC210" i="58"/>
  <c r="BE210" i="58" s="1"/>
  <c r="BB211" i="58"/>
  <c r="BD211" i="58" s="1"/>
  <c r="BC211" i="58"/>
  <c r="BE211" i="58" s="1"/>
  <c r="BB212" i="58"/>
  <c r="BD212" i="58" s="1"/>
  <c r="BC212" i="58"/>
  <c r="BE212" i="58" s="1"/>
  <c r="BB213" i="58"/>
  <c r="BD213" i="58" s="1"/>
  <c r="BC213" i="58"/>
  <c r="BE213" i="58" s="1"/>
  <c r="BB214" i="58"/>
  <c r="BD214" i="58" s="1"/>
  <c r="BC214" i="58"/>
  <c r="BE214" i="58" s="1"/>
  <c r="BB215" i="58"/>
  <c r="BD215" i="58" s="1"/>
  <c r="BC215" i="58"/>
  <c r="BE215" i="58" s="1"/>
  <c r="BB216" i="58"/>
  <c r="BD216" i="58" s="1"/>
  <c r="BC216" i="58"/>
  <c r="BE216" i="58" s="1"/>
  <c r="BB217" i="58"/>
  <c r="BD217" i="58" s="1"/>
  <c r="BC217" i="58"/>
  <c r="BE217" i="58" s="1"/>
  <c r="BB218" i="58"/>
  <c r="BD218" i="58" s="1"/>
  <c r="BC218" i="58"/>
  <c r="BE218" i="58" s="1"/>
  <c r="BB219" i="58"/>
  <c r="BD219" i="58" s="1"/>
  <c r="BC219" i="58"/>
  <c r="BE219" i="58" s="1"/>
  <c r="BB220" i="58"/>
  <c r="BD220" i="58" s="1"/>
  <c r="BC220" i="58"/>
  <c r="BE220" i="58" s="1"/>
  <c r="BB221" i="58"/>
  <c r="BD221" i="58" s="1"/>
  <c r="BC221" i="58"/>
  <c r="BE221" i="58" s="1"/>
  <c r="BB222" i="58"/>
  <c r="BD222" i="58" s="1"/>
  <c r="BC222" i="58"/>
  <c r="BE222" i="58" s="1"/>
  <c r="BB223" i="58"/>
  <c r="BD223" i="58" s="1"/>
  <c r="BC223" i="58"/>
  <c r="BE223" i="58" s="1"/>
  <c r="BB224" i="58"/>
  <c r="BD224" i="58" s="1"/>
  <c r="BC224" i="58"/>
  <c r="BE224" i="58" s="1"/>
  <c r="BB225" i="58"/>
  <c r="BD225" i="58" s="1"/>
  <c r="BC225" i="58"/>
  <c r="BE225" i="58" s="1"/>
  <c r="BB226" i="58"/>
  <c r="BD226" i="58" s="1"/>
  <c r="BC226" i="58"/>
  <c r="BE226" i="58" s="1"/>
  <c r="BB227" i="58"/>
  <c r="BD227" i="58" s="1"/>
  <c r="BC227" i="58"/>
  <c r="BE227" i="58" s="1"/>
  <c r="BB228" i="58"/>
  <c r="BD228" i="58" s="1"/>
  <c r="BC228" i="58"/>
  <c r="BE228" i="58" s="1"/>
  <c r="BB229" i="58"/>
  <c r="BD229" i="58" s="1"/>
  <c r="BC229" i="58"/>
  <c r="BE229" i="58" s="1"/>
  <c r="BB230" i="58"/>
  <c r="BD230" i="58" s="1"/>
  <c r="BC230" i="58"/>
  <c r="BE230" i="58" s="1"/>
  <c r="BB231" i="58"/>
  <c r="BD231" i="58" s="1"/>
  <c r="BC231" i="58"/>
  <c r="BE231" i="58" s="1"/>
  <c r="BB232" i="58"/>
  <c r="BD232" i="58" s="1"/>
  <c r="BC232" i="58"/>
  <c r="BE232" i="58" s="1"/>
  <c r="BB233" i="58"/>
  <c r="BD233" i="58" s="1"/>
  <c r="BC233" i="58"/>
  <c r="BE233" i="58" s="1"/>
  <c r="BB234" i="58"/>
  <c r="BD234" i="58" s="1"/>
  <c r="BC234" i="58"/>
  <c r="BE234" i="58" s="1"/>
  <c r="BB235" i="58"/>
  <c r="BD235" i="58" s="1"/>
  <c r="BC235" i="58"/>
  <c r="BE235" i="58" s="1"/>
  <c r="BB236" i="58"/>
  <c r="BD236" i="58" s="1"/>
  <c r="BC236" i="58"/>
  <c r="BE236" i="58" s="1"/>
  <c r="BB237" i="58"/>
  <c r="BD237" i="58" s="1"/>
  <c r="BC237" i="58"/>
  <c r="BE237" i="58" s="1"/>
  <c r="BB238" i="58"/>
  <c r="BD238" i="58" s="1"/>
  <c r="BC238" i="58"/>
  <c r="BE238" i="58" s="1"/>
  <c r="BB239" i="58"/>
  <c r="BD239" i="58" s="1"/>
  <c r="BC239" i="58"/>
  <c r="BE239" i="58" s="1"/>
  <c r="BB240" i="58"/>
  <c r="BD240" i="58" s="1"/>
  <c r="BC240" i="58"/>
  <c r="BE240" i="58" s="1"/>
  <c r="BB241" i="58"/>
  <c r="BD241" i="58" s="1"/>
  <c r="BC241" i="58"/>
  <c r="BE241" i="58" s="1"/>
  <c r="BB242" i="58"/>
  <c r="BD242" i="58" s="1"/>
  <c r="BC242" i="58"/>
  <c r="BE242" i="58" s="1"/>
  <c r="BB243" i="58"/>
  <c r="BD243" i="58" s="1"/>
  <c r="BC243" i="58"/>
  <c r="BE243" i="58" s="1"/>
  <c r="BB244" i="58"/>
  <c r="BD244" i="58" s="1"/>
  <c r="BC244" i="58"/>
  <c r="BE244" i="58" s="1"/>
  <c r="BB245" i="58"/>
  <c r="BD245" i="58" s="1"/>
  <c r="BC245" i="58"/>
  <c r="BE245" i="58" s="1"/>
  <c r="BB246" i="58"/>
  <c r="BD246" i="58" s="1"/>
  <c r="BC246" i="58"/>
  <c r="BE246" i="58" s="1"/>
  <c r="BB247" i="58"/>
  <c r="BD247" i="58" s="1"/>
  <c r="BC247" i="58"/>
  <c r="BE247" i="58" s="1"/>
  <c r="BB248" i="58"/>
  <c r="BD248" i="58" s="1"/>
  <c r="BC248" i="58"/>
  <c r="BE248" i="58" s="1"/>
  <c r="BB249" i="58"/>
  <c r="BD249" i="58" s="1"/>
  <c r="BC249" i="58"/>
  <c r="BE249" i="58" s="1"/>
  <c r="BB250" i="58"/>
  <c r="BD250" i="58" s="1"/>
  <c r="BC250" i="58"/>
  <c r="BE250" i="58" s="1"/>
  <c r="BB251" i="58"/>
  <c r="BD251" i="58" s="1"/>
  <c r="BC251" i="58"/>
  <c r="BE251" i="58" s="1"/>
  <c r="BB252" i="58"/>
  <c r="BD252" i="58" s="1"/>
  <c r="BC252" i="58"/>
  <c r="BE252" i="58" s="1"/>
  <c r="BB253" i="58"/>
  <c r="BD253" i="58" s="1"/>
  <c r="BC253" i="58"/>
  <c r="BE253" i="58" s="1"/>
  <c r="BB254" i="58"/>
  <c r="BD254" i="58" s="1"/>
  <c r="BC254" i="58"/>
  <c r="BE254" i="58" s="1"/>
  <c r="BB255" i="58"/>
  <c r="BD255" i="58" s="1"/>
  <c r="BC255" i="58"/>
  <c r="BE255" i="58" s="1"/>
  <c r="BB256" i="58"/>
  <c r="BD256" i="58" s="1"/>
  <c r="BC256" i="58"/>
  <c r="BE256" i="58" s="1"/>
  <c r="BB257" i="58"/>
  <c r="BD257" i="58" s="1"/>
  <c r="BC257" i="58"/>
  <c r="BE257" i="58" s="1"/>
  <c r="BB258" i="58"/>
  <c r="BD258" i="58" s="1"/>
  <c r="BC258" i="58"/>
  <c r="BE258" i="58"/>
  <c r="BB259" i="58"/>
  <c r="BD259" i="58" s="1"/>
  <c r="BC259" i="58"/>
  <c r="BE259" i="58" s="1"/>
  <c r="BB260" i="58"/>
  <c r="BD260" i="58" s="1"/>
  <c r="BC260" i="58"/>
  <c r="BE260" i="58" s="1"/>
  <c r="BB261" i="58"/>
  <c r="BD261" i="58" s="1"/>
  <c r="BC261" i="58"/>
  <c r="BE261" i="58" s="1"/>
  <c r="BB262" i="58"/>
  <c r="BD262" i="58" s="1"/>
  <c r="BC262" i="58"/>
  <c r="BE262" i="58" s="1"/>
  <c r="BB263" i="58"/>
  <c r="BD263" i="58" s="1"/>
  <c r="BC263" i="58"/>
  <c r="BE263" i="58" s="1"/>
  <c r="BB264" i="58"/>
  <c r="BD264" i="58" s="1"/>
  <c r="BC264" i="58"/>
  <c r="BE264" i="58" s="1"/>
  <c r="BB265" i="58"/>
  <c r="BD265" i="58" s="1"/>
  <c r="BC265" i="58"/>
  <c r="BE265" i="58" s="1"/>
  <c r="BB266" i="58"/>
  <c r="BD266" i="58" s="1"/>
  <c r="BC266" i="58"/>
  <c r="BE266" i="58" s="1"/>
  <c r="BB267" i="58"/>
  <c r="BD267" i="58" s="1"/>
  <c r="BC267" i="58"/>
  <c r="BE267" i="58" s="1"/>
  <c r="BB268" i="58"/>
  <c r="BD268" i="58" s="1"/>
  <c r="BC268" i="58"/>
  <c r="BE268" i="58" s="1"/>
  <c r="BB269" i="58"/>
  <c r="BD269" i="58" s="1"/>
  <c r="BC269" i="58"/>
  <c r="BE269" i="58" s="1"/>
  <c r="BB270" i="58"/>
  <c r="BD270" i="58" s="1"/>
  <c r="BC270" i="58"/>
  <c r="BE270" i="58" s="1"/>
  <c r="BB271" i="58"/>
  <c r="BD271" i="58" s="1"/>
  <c r="BC271" i="58"/>
  <c r="BE271" i="58" s="1"/>
  <c r="BB272" i="58"/>
  <c r="BD272" i="58" s="1"/>
  <c r="BC272" i="58"/>
  <c r="BE272" i="58" s="1"/>
  <c r="BB273" i="58"/>
  <c r="BD273" i="58" s="1"/>
  <c r="BC273" i="58"/>
  <c r="BE273" i="58" s="1"/>
  <c r="BB274" i="58"/>
  <c r="BD274" i="58" s="1"/>
  <c r="BC274" i="58"/>
  <c r="BE274" i="58" s="1"/>
  <c r="BB275" i="58"/>
  <c r="BD275" i="58" s="1"/>
  <c r="BC275" i="58"/>
  <c r="BE275" i="58" s="1"/>
  <c r="BB276" i="58"/>
  <c r="BD276" i="58" s="1"/>
  <c r="BC276" i="58"/>
  <c r="BE276" i="58" s="1"/>
  <c r="BB277" i="58"/>
  <c r="BD277" i="58" s="1"/>
  <c r="BC277" i="58"/>
  <c r="BE277" i="58" s="1"/>
  <c r="BB278" i="58"/>
  <c r="BD278" i="58" s="1"/>
  <c r="BC278" i="58"/>
  <c r="BE278" i="58" s="1"/>
  <c r="BB279" i="58"/>
  <c r="BD279" i="58" s="1"/>
  <c r="BC279" i="58"/>
  <c r="BE279" i="58" s="1"/>
  <c r="BB280" i="58"/>
  <c r="BD280" i="58" s="1"/>
  <c r="BC280" i="58"/>
  <c r="BE280" i="58" s="1"/>
  <c r="BB281" i="58"/>
  <c r="BD281" i="58" s="1"/>
  <c r="BC281" i="58"/>
  <c r="BE281" i="58" s="1"/>
  <c r="BB282" i="58"/>
  <c r="BD282" i="58" s="1"/>
  <c r="BC282" i="58"/>
  <c r="BE282" i="58" s="1"/>
  <c r="BB283" i="58"/>
  <c r="BD283" i="58" s="1"/>
  <c r="BC283" i="58"/>
  <c r="BE283" i="58" s="1"/>
  <c r="BB284" i="58"/>
  <c r="BD284" i="58" s="1"/>
  <c r="BC284" i="58"/>
  <c r="BE284" i="58" s="1"/>
  <c r="BB285" i="58"/>
  <c r="BD285" i="58" s="1"/>
  <c r="BC285" i="58"/>
  <c r="BE285" i="58" s="1"/>
  <c r="BB286" i="58"/>
  <c r="BD286" i="58" s="1"/>
  <c r="BC286" i="58"/>
  <c r="BE286" i="58" s="1"/>
  <c r="BB287" i="58"/>
  <c r="BD287" i="58" s="1"/>
  <c r="BC287" i="58"/>
  <c r="BE287" i="58" s="1"/>
  <c r="BB288" i="58"/>
  <c r="BD288" i="58" s="1"/>
  <c r="BC288" i="58"/>
  <c r="BE288" i="58" s="1"/>
  <c r="BB289" i="58"/>
  <c r="BD289" i="58" s="1"/>
  <c r="BC289" i="58"/>
  <c r="BE289" i="58" s="1"/>
  <c r="BB290" i="58"/>
  <c r="BD290" i="58" s="1"/>
  <c r="BC290" i="58"/>
  <c r="BE290" i="58" s="1"/>
  <c r="BB291" i="58"/>
  <c r="BD291" i="58" s="1"/>
  <c r="BC291" i="58"/>
  <c r="BE291" i="58" s="1"/>
  <c r="BB292" i="58"/>
  <c r="BD292" i="58" s="1"/>
  <c r="BC292" i="58"/>
  <c r="BE292" i="58" s="1"/>
  <c r="BB293" i="58"/>
  <c r="BD293" i="58" s="1"/>
  <c r="BC293" i="58"/>
  <c r="BE293" i="58" s="1"/>
  <c r="BB294" i="58"/>
  <c r="BD294" i="58" s="1"/>
  <c r="BC294" i="58"/>
  <c r="BE294" i="58" s="1"/>
  <c r="BB295" i="58"/>
  <c r="BD295" i="58" s="1"/>
  <c r="BC295" i="58"/>
  <c r="BE295" i="58" s="1"/>
  <c r="BB296" i="58"/>
  <c r="BD296" i="58" s="1"/>
  <c r="BC296" i="58"/>
  <c r="BE296" i="58" s="1"/>
  <c r="BB297" i="58"/>
  <c r="BD297" i="58" s="1"/>
  <c r="BC297" i="58"/>
  <c r="BE297" i="58" s="1"/>
  <c r="BB298" i="58"/>
  <c r="BD298" i="58" s="1"/>
  <c r="BC298" i="58"/>
  <c r="BE298" i="58" s="1"/>
  <c r="BB299" i="58"/>
  <c r="BD299" i="58" s="1"/>
  <c r="BC299" i="58"/>
  <c r="BE299" i="58" s="1"/>
  <c r="BB300" i="58"/>
  <c r="BD300" i="58" s="1"/>
  <c r="BC300" i="58"/>
  <c r="BE300" i="58" s="1"/>
  <c r="BB301" i="58"/>
  <c r="BD301" i="58" s="1"/>
  <c r="BC301" i="58"/>
  <c r="BE301" i="58" s="1"/>
  <c r="BB302" i="58"/>
  <c r="BD302" i="58" s="1"/>
  <c r="BC302" i="58"/>
  <c r="BE302" i="58" s="1"/>
  <c r="BB303" i="58"/>
  <c r="BD303" i="58" s="1"/>
  <c r="BC303" i="58"/>
  <c r="BE303" i="58" s="1"/>
  <c r="BB304" i="58"/>
  <c r="BD304" i="58" s="1"/>
  <c r="BC304" i="58"/>
  <c r="BE304" i="58" s="1"/>
  <c r="BB305" i="58"/>
  <c r="BD305" i="58" s="1"/>
  <c r="BC305" i="58"/>
  <c r="BE305" i="58" s="1"/>
  <c r="BB306" i="58"/>
  <c r="BD306" i="58" s="1"/>
  <c r="BC306" i="58"/>
  <c r="BE306" i="58" s="1"/>
  <c r="BB307" i="58"/>
  <c r="BD307" i="58" s="1"/>
  <c r="BC307" i="58"/>
  <c r="BE307" i="58" s="1"/>
  <c r="BB308" i="58"/>
  <c r="BD308" i="58" s="1"/>
  <c r="BC308" i="58"/>
  <c r="BE308" i="58" s="1"/>
  <c r="BB309" i="58"/>
  <c r="BD309" i="58" s="1"/>
  <c r="BC309" i="58"/>
  <c r="BE309" i="58" s="1"/>
  <c r="BB310" i="58"/>
  <c r="BD310" i="58"/>
  <c r="BC310" i="58"/>
  <c r="BE310" i="58" s="1"/>
  <c r="BB311" i="58"/>
  <c r="BD311" i="58" s="1"/>
  <c r="BC311" i="58"/>
  <c r="BE311" i="58" s="1"/>
  <c r="BB312" i="58"/>
  <c r="BD312" i="58" s="1"/>
  <c r="BC312" i="58"/>
  <c r="BE312" i="58" s="1"/>
  <c r="BB313" i="58"/>
  <c r="BD313" i="58" s="1"/>
  <c r="BC313" i="58"/>
  <c r="BE313" i="58" s="1"/>
  <c r="BB314" i="58"/>
  <c r="BD314" i="58" s="1"/>
  <c r="BC314" i="58"/>
  <c r="BE314" i="58" s="1"/>
  <c r="BB315" i="58"/>
  <c r="BD315" i="58" s="1"/>
  <c r="BC315" i="58"/>
  <c r="BE315" i="58" s="1"/>
  <c r="BB316" i="58"/>
  <c r="BD316" i="58" s="1"/>
  <c r="BC316" i="58"/>
  <c r="BE316" i="58" s="1"/>
  <c r="BB317" i="58"/>
  <c r="BD317" i="58" s="1"/>
  <c r="BC317" i="58"/>
  <c r="BE317" i="58" s="1"/>
  <c r="BB318" i="58"/>
  <c r="BD318" i="58" s="1"/>
  <c r="BC318" i="58"/>
  <c r="BE318" i="58" s="1"/>
  <c r="BB319" i="58"/>
  <c r="BD319" i="58" s="1"/>
  <c r="BC319" i="58"/>
  <c r="BE319" i="58" s="1"/>
  <c r="BB320" i="58"/>
  <c r="BD320" i="58" s="1"/>
  <c r="BC320" i="58"/>
  <c r="BE320" i="58" s="1"/>
  <c r="BB321" i="58"/>
  <c r="BD321" i="58" s="1"/>
  <c r="BC321" i="58"/>
  <c r="BE321" i="58" s="1"/>
  <c r="BB322" i="58"/>
  <c r="BD322" i="58" s="1"/>
  <c r="BC322" i="58"/>
  <c r="BE322" i="58" s="1"/>
  <c r="BB323" i="58"/>
  <c r="BD323" i="58" s="1"/>
  <c r="BC323" i="58"/>
  <c r="BE323" i="58" s="1"/>
  <c r="E12" i="56"/>
  <c r="G12" i="56"/>
  <c r="J12" i="56"/>
  <c r="M12" i="56"/>
  <c r="O12" i="56"/>
  <c r="R12" i="56"/>
  <c r="W12" i="56"/>
  <c r="W13" i="56"/>
  <c r="D6" i="65"/>
  <c r="D7" i="65"/>
  <c r="F7" i="65"/>
  <c r="H7" i="65"/>
  <c r="G5" i="65" s="1"/>
  <c r="K7" i="65"/>
  <c r="N7" i="65"/>
  <c r="P7" i="65"/>
  <c r="H5" i="65" s="1"/>
  <c r="S7" i="65"/>
  <c r="Y7" i="65"/>
  <c r="Y8" i="65"/>
  <c r="K11" i="65"/>
  <c r="I59" i="65" s="1"/>
  <c r="R15" i="65"/>
  <c r="U15" i="65"/>
  <c r="X15" i="65"/>
  <c r="BB30" i="65"/>
  <c r="BC30" i="65" s="1"/>
  <c r="BB31" i="65"/>
  <c r="BC31" i="65" s="1"/>
  <c r="BI114" i="65"/>
  <c r="BB32" i="65"/>
  <c r="BC32" i="65" s="1"/>
  <c r="BI118" i="65"/>
  <c r="BB33" i="65"/>
  <c r="BC33" i="65" s="1"/>
  <c r="BI122" i="65"/>
  <c r="BB34" i="65"/>
  <c r="BC34" i="65" s="1"/>
  <c r="R35" i="65"/>
  <c r="BB35" i="65"/>
  <c r="BC35" i="65" s="1"/>
  <c r="R36" i="65"/>
  <c r="BG130" i="65" s="1"/>
  <c r="BI130" i="65" s="1"/>
  <c r="BB36" i="65"/>
  <c r="BC36" i="65" s="1"/>
  <c r="R37" i="65"/>
  <c r="BB37" i="65"/>
  <c r="BC37" i="65" s="1"/>
  <c r="R38" i="65"/>
  <c r="BB38" i="65"/>
  <c r="BC38" i="65" s="1"/>
  <c r="R39" i="65"/>
  <c r="BB39" i="65"/>
  <c r="BC39" i="65" s="1"/>
  <c r="R40" i="65"/>
  <c r="BB40" i="65"/>
  <c r="BC40" i="65" s="1"/>
  <c r="R41" i="65"/>
  <c r="BG150" i="65" s="1"/>
  <c r="BI150" i="65" s="1"/>
  <c r="BB41" i="65"/>
  <c r="BC41" i="65"/>
  <c r="BB49" i="65"/>
  <c r="BB50" i="65"/>
  <c r="BB51" i="65"/>
  <c r="BB52" i="65"/>
  <c r="BB53" i="65"/>
  <c r="BL57" i="65"/>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L85" i="65" s="1"/>
  <c r="BL86" i="65" s="1"/>
  <c r="BB106" i="65"/>
  <c r="BC106" i="65"/>
  <c r="BF106" i="65"/>
  <c r="BB107" i="65"/>
  <c r="BC107" i="65"/>
  <c r="BE107" i="65"/>
  <c r="BB108" i="65"/>
  <c r="BC108" i="65"/>
  <c r="BI108" i="65"/>
  <c r="BB109" i="65"/>
  <c r="BC109" i="65"/>
  <c r="BI109" i="65"/>
  <c r="BB110" i="65"/>
  <c r="BC110" i="65"/>
  <c r="BB111" i="65"/>
  <c r="BC111" i="65"/>
  <c r="BI111" i="65"/>
  <c r="BB112" i="65"/>
  <c r="BC112" i="65"/>
  <c r="BI112" i="65"/>
  <c r="BB113" i="65"/>
  <c r="BC113" i="65"/>
  <c r="BB114" i="65"/>
  <c r="BC114" i="65"/>
  <c r="BB115" i="65"/>
  <c r="BC115" i="65"/>
  <c r="BI115" i="65"/>
  <c r="BB116" i="65"/>
  <c r="BC116" i="65"/>
  <c r="BI116" i="65"/>
  <c r="BB117" i="65"/>
  <c r="BC117" i="65"/>
  <c r="BI117" i="65"/>
  <c r="BB118" i="65"/>
  <c r="BC118" i="65"/>
  <c r="BF118" i="65"/>
  <c r="BB119" i="65"/>
  <c r="BC119" i="65"/>
  <c r="BF119" i="65"/>
  <c r="BB120" i="65"/>
  <c r="BC120" i="65"/>
  <c r="BB121" i="65"/>
  <c r="BC121" i="65"/>
  <c r="BB122" i="65"/>
  <c r="BC122" i="65"/>
  <c r="BE122" i="65"/>
  <c r="BB123" i="65"/>
  <c r="BC123" i="65"/>
  <c r="BI123" i="65"/>
  <c r="BB124" i="65"/>
  <c r="BC124" i="65"/>
  <c r="BI124" i="65"/>
  <c r="BB125" i="65"/>
  <c r="BC125" i="65"/>
  <c r="BI125" i="65"/>
  <c r="BB126" i="65"/>
  <c r="BC126" i="65"/>
  <c r="BE126" i="65"/>
  <c r="BB127" i="65"/>
  <c r="BC127" i="65"/>
  <c r="BH127" i="65"/>
  <c r="BF127" i="65"/>
  <c r="BB128" i="65"/>
  <c r="BC128" i="65"/>
  <c r="BF128" i="65"/>
  <c r="BB129" i="65"/>
  <c r="BC129" i="65"/>
  <c r="BH129" i="65" s="1"/>
  <c r="BE129" i="65"/>
  <c r="BB130" i="65"/>
  <c r="BC130" i="65"/>
  <c r="BE130" i="65"/>
  <c r="BB131" i="65"/>
  <c r="BC131" i="65"/>
  <c r="BF131" i="65"/>
  <c r="BB132" i="65"/>
  <c r="BC132" i="65"/>
  <c r="BH132" i="65" s="1"/>
  <c r="BF132" i="65"/>
  <c r="BB133" i="65"/>
  <c r="BC133" i="65"/>
  <c r="BH133" i="65" s="1"/>
  <c r="BI133" i="65"/>
  <c r="BB134" i="65"/>
  <c r="BC134" i="65"/>
  <c r="BE134" i="65"/>
  <c r="BB135" i="65"/>
  <c r="BC135" i="65"/>
  <c r="BH135" i="65" s="1"/>
  <c r="BF135" i="65"/>
  <c r="BB136" i="65"/>
  <c r="BC136" i="65"/>
  <c r="BH136" i="65" s="1"/>
  <c r="BI136" i="65"/>
  <c r="BB137" i="65"/>
  <c r="BC137" i="65"/>
  <c r="BE137" i="65"/>
  <c r="BB138" i="65"/>
  <c r="BC138" i="65"/>
  <c r="BF138" i="65"/>
  <c r="BE138" i="65"/>
  <c r="BB139" i="65"/>
  <c r="BC139" i="65"/>
  <c r="BB140" i="65"/>
  <c r="BC140" i="65"/>
  <c r="BF140" i="65"/>
  <c r="BE140" i="65"/>
  <c r="BB141" i="65"/>
  <c r="BC141" i="65"/>
  <c r="BE141" i="65"/>
  <c r="BB142" i="65"/>
  <c r="BC142" i="65"/>
  <c r="BE142" i="65"/>
  <c r="BF142" i="65"/>
  <c r="BB143" i="65"/>
  <c r="BC143" i="65"/>
  <c r="BH143" i="65" s="1"/>
  <c r="BF143" i="65"/>
  <c r="BB144" i="65"/>
  <c r="BC144" i="65"/>
  <c r="BH144" i="65" s="1"/>
  <c r="BE144" i="65"/>
  <c r="BF144" i="65"/>
  <c r="BI144" i="65"/>
  <c r="BB145" i="65"/>
  <c r="BC145" i="65"/>
  <c r="BH145" i="65" s="1"/>
  <c r="BE145" i="65"/>
  <c r="BF145" i="65"/>
  <c r="BI145" i="65"/>
  <c r="BB146" i="65"/>
  <c r="BC146" i="65"/>
  <c r="BE146" i="65"/>
  <c r="BF146" i="65"/>
  <c r="BB147" i="65"/>
  <c r="BC147" i="65"/>
  <c r="BH147" i="65" s="1"/>
  <c r="BF147" i="65"/>
  <c r="BE147" i="65"/>
  <c r="BB148" i="65"/>
  <c r="BC148" i="65"/>
  <c r="BH148" i="65" s="1"/>
  <c r="BF148" i="65"/>
  <c r="BE148" i="65"/>
  <c r="BI148" i="65"/>
  <c r="BB149" i="65"/>
  <c r="BC149" i="65"/>
  <c r="BH149" i="65" s="1"/>
  <c r="BF149" i="65"/>
  <c r="BE149" i="65"/>
  <c r="BI149" i="65"/>
  <c r="BB150" i="65"/>
  <c r="BC150" i="65"/>
  <c r="BE150" i="65"/>
  <c r="BF150" i="65"/>
  <c r="BB151" i="65"/>
  <c r="BC151" i="65"/>
  <c r="BH151" i="65" s="1"/>
  <c r="BE151" i="65"/>
  <c r="BI151" i="65"/>
  <c r="BB152" i="65"/>
  <c r="BC152" i="65"/>
  <c r="BH152" i="65" s="1"/>
  <c r="BE152" i="65"/>
  <c r="BF152" i="65"/>
  <c r="BI152" i="65"/>
  <c r="BB153" i="65"/>
  <c r="BC153" i="65"/>
  <c r="BH153" i="65" s="1"/>
  <c r="BE153" i="65"/>
  <c r="BF153" i="65"/>
  <c r="BI153" i="65"/>
  <c r="BI140" i="65"/>
  <c r="BT19" i="58"/>
  <c r="CE18" i="58" s="1"/>
  <c r="BP3" i="58"/>
  <c r="BF8" i="58"/>
  <c r="BV13" i="58"/>
  <c r="CE55" i="58" s="1"/>
  <c r="BB13" i="58"/>
  <c r="BQ3" i="58"/>
  <c r="BI147" i="65"/>
  <c r="BE143" i="65"/>
  <c r="BI131" i="65"/>
  <c r="BE131" i="65"/>
  <c r="BE127" i="65"/>
  <c r="BF151" i="65"/>
  <c r="BI127" i="65"/>
  <c r="CF35" i="2" l="1"/>
  <c r="CF38" i="2" s="1"/>
  <c r="CF39" i="2" s="1"/>
  <c r="CC35" i="2"/>
  <c r="CC38" i="2" s="1"/>
  <c r="CC39" i="2" s="1"/>
  <c r="CS35" i="2"/>
  <c r="CR35" i="2"/>
  <c r="CO35" i="2"/>
  <c r="CL35" i="2"/>
  <c r="CI35" i="2"/>
  <c r="AW23" i="2"/>
  <c r="AW24" i="2"/>
  <c r="BZ29" i="58"/>
  <c r="CD9" i="58" s="1"/>
  <c r="CE9" i="58" s="1"/>
  <c r="BX29" i="58"/>
  <c r="CD7" i="58" s="1"/>
  <c r="CE7" i="58" s="1"/>
  <c r="BB22" i="56"/>
  <c r="R19" i="56" s="1"/>
  <c r="BB21" i="56"/>
  <c r="M19" i="56" s="1"/>
  <c r="BB20" i="56"/>
  <c r="BB19" i="56"/>
  <c r="C19" i="56" s="1"/>
  <c r="BS9" i="58"/>
  <c r="CE109" i="58"/>
  <c r="BG134" i="65"/>
  <c r="BI134" i="65" s="1"/>
  <c r="BG146" i="65"/>
  <c r="BI146" i="65" s="1"/>
  <c r="BG142" i="65"/>
  <c r="BI142" i="65" s="1"/>
  <c r="BG126" i="65"/>
  <c r="BI126" i="65" s="1"/>
  <c r="BG138" i="65"/>
  <c r="BI138" i="65" s="1"/>
  <c r="BI143" i="65"/>
  <c r="BF137" i="65"/>
  <c r="BH137" i="65"/>
  <c r="BY29" i="58"/>
  <c r="CD8" i="58" s="1"/>
  <c r="CE8" i="58" s="1"/>
  <c r="BF134" i="65"/>
  <c r="BI128" i="65"/>
  <c r="BI137" i="65"/>
  <c r="AL35" i="2"/>
  <c r="AV35" i="2"/>
  <c r="AO35" i="2"/>
  <c r="AR35" i="2"/>
  <c r="AU35" i="2"/>
  <c r="BE115" i="65"/>
  <c r="BF115" i="65"/>
  <c r="BR5" i="58"/>
  <c r="CA29" i="58"/>
  <c r="BE118" i="65"/>
  <c r="BF126" i="65"/>
  <c r="C124" i="58"/>
  <c r="BE119" i="65"/>
  <c r="BE125" i="65"/>
  <c r="BK41" i="65"/>
  <c r="BK40" i="65"/>
  <c r="BH116" i="65"/>
  <c r="BF116" i="65" s="1"/>
  <c r="BD49" i="65"/>
  <c r="BE124" i="65"/>
  <c r="BE123" i="65"/>
  <c r="BF125" i="65"/>
  <c r="BH115" i="65"/>
  <c r="BH125" i="65"/>
  <c r="BH123" i="65"/>
  <c r="BH113" i="65"/>
  <c r="BE113" i="65" s="1"/>
  <c r="K124" i="58"/>
  <c r="C37" i="58"/>
  <c r="C80" i="58" s="1"/>
  <c r="C123" i="58"/>
  <c r="K167" i="58"/>
  <c r="K210" i="58" s="1"/>
  <c r="S122" i="58"/>
  <c r="S164" i="58"/>
  <c r="S165" i="58"/>
  <c r="BG61" i="58"/>
  <c r="BS10" i="58"/>
  <c r="BS19" i="58"/>
  <c r="BS23" i="58"/>
  <c r="BT4" i="58"/>
  <c r="BI119" i="65"/>
  <c r="BH119" i="65"/>
  <c r="BK31" i="65"/>
  <c r="S208" i="58"/>
  <c r="S121" i="58"/>
  <c r="BD13" i="58"/>
  <c r="S207" i="58"/>
  <c r="BS15" i="58"/>
  <c r="BS26" i="58"/>
  <c r="BI61" i="58"/>
  <c r="S78" i="58"/>
  <c r="S79" i="58"/>
  <c r="S36" i="58"/>
  <c r="BU34" i="58"/>
  <c r="CD29" i="58"/>
  <c r="BU39" i="58"/>
  <c r="CD34" i="58"/>
  <c r="BU43" i="58"/>
  <c r="CD38" i="58"/>
  <c r="BU47" i="58"/>
  <c r="CD42" i="58"/>
  <c r="BU51" i="58"/>
  <c r="CD46" i="58"/>
  <c r="BU55" i="58"/>
  <c r="CD50" i="58"/>
  <c r="BW33" i="58"/>
  <c r="CD80" i="58"/>
  <c r="BW36" i="58"/>
  <c r="CD83" i="58"/>
  <c r="BW41" i="58"/>
  <c r="CD88" i="58"/>
  <c r="BW45" i="58"/>
  <c r="CD92" i="58"/>
  <c r="BW49" i="58"/>
  <c r="CD96" i="58"/>
  <c r="BW53" i="58"/>
  <c r="CD100" i="58"/>
  <c r="BW57" i="58"/>
  <c r="CD104" i="58"/>
  <c r="BU35" i="58"/>
  <c r="CD30" i="58"/>
  <c r="BU40" i="58"/>
  <c r="CD35" i="58"/>
  <c r="BU44" i="58"/>
  <c r="CD39" i="58"/>
  <c r="BU48" i="58"/>
  <c r="CD43" i="58"/>
  <c r="BU52" i="58"/>
  <c r="CD47" i="58"/>
  <c r="BU56" i="58"/>
  <c r="CD51" i="58"/>
  <c r="BW34" i="58"/>
  <c r="CD81" i="58"/>
  <c r="BW37" i="58"/>
  <c r="CD84" i="58"/>
  <c r="BW42" i="58"/>
  <c r="CD89" i="58"/>
  <c r="BW46" i="58"/>
  <c r="CD93" i="58"/>
  <c r="BW50" i="58"/>
  <c r="CD97" i="58"/>
  <c r="BW54" i="58"/>
  <c r="CD101" i="58"/>
  <c r="BW58" i="58"/>
  <c r="CD105" i="58"/>
  <c r="BU36" i="58"/>
  <c r="CD31" i="58"/>
  <c r="BU41" i="58"/>
  <c r="CD36" i="58"/>
  <c r="BU45" i="58"/>
  <c r="CD40" i="58"/>
  <c r="BU49" i="58"/>
  <c r="CD44" i="58"/>
  <c r="BU53" i="58"/>
  <c r="CD48" i="58"/>
  <c r="BU57" i="58"/>
  <c r="CD52" i="58"/>
  <c r="BV35" i="58"/>
  <c r="CD56" i="58"/>
  <c r="BW39" i="58"/>
  <c r="CD86" i="58"/>
  <c r="BW43" i="58"/>
  <c r="CD90" i="58"/>
  <c r="BW47" i="58"/>
  <c r="CD94" i="58"/>
  <c r="BW51" i="58"/>
  <c r="CD98" i="58"/>
  <c r="BW55" i="58"/>
  <c r="CD102" i="58"/>
  <c r="BU33" i="58"/>
  <c r="CD28" i="58"/>
  <c r="BU37" i="58"/>
  <c r="CD32" i="58"/>
  <c r="BU42" i="58"/>
  <c r="CD37" i="58"/>
  <c r="BU46" i="58"/>
  <c r="CD41" i="58"/>
  <c r="BU50" i="58"/>
  <c r="CD45" i="58"/>
  <c r="BU54" i="58"/>
  <c r="CD49" i="58"/>
  <c r="BW35" i="58"/>
  <c r="CD82" i="58"/>
  <c r="BW40" i="58"/>
  <c r="CD87" i="58"/>
  <c r="BW44" i="58"/>
  <c r="CD91" i="58"/>
  <c r="BW48" i="58"/>
  <c r="CD95" i="58"/>
  <c r="BW52" i="58"/>
  <c r="CD99" i="58"/>
  <c r="BW56" i="58"/>
  <c r="CD103" i="58"/>
  <c r="BY30" i="58"/>
  <c r="CD107" i="58"/>
  <c r="CA30" i="58"/>
  <c r="CD109" i="58"/>
  <c r="BT45" i="58"/>
  <c r="CD23" i="58"/>
  <c r="BT53" i="58"/>
  <c r="BT46" i="58"/>
  <c r="CD24" i="58"/>
  <c r="BT43" i="58"/>
  <c r="CD21" i="58"/>
  <c r="BT37" i="58"/>
  <c r="CD15" i="58"/>
  <c r="BT44" i="58"/>
  <c r="CD22" i="58"/>
  <c r="BT48" i="58"/>
  <c r="CD26" i="58"/>
  <c r="BT52" i="58"/>
  <c r="BT56" i="58"/>
  <c r="CD11" i="58"/>
  <c r="BV45" i="58"/>
  <c r="CD66" i="58"/>
  <c r="BV49" i="58"/>
  <c r="CD70" i="58"/>
  <c r="BV53" i="58"/>
  <c r="CD74" i="58"/>
  <c r="BV57" i="58"/>
  <c r="CD78" i="58"/>
  <c r="BV39" i="58"/>
  <c r="CD60" i="58"/>
  <c r="BT57" i="58"/>
  <c r="BV33" i="58"/>
  <c r="CD54" i="58"/>
  <c r="BV46" i="58"/>
  <c r="CD67" i="58"/>
  <c r="BV50" i="58"/>
  <c r="CD71" i="58"/>
  <c r="BV54" i="58"/>
  <c r="CD75" i="58"/>
  <c r="BV58" i="58"/>
  <c r="CD79" i="58"/>
  <c r="BV40" i="58"/>
  <c r="CD61" i="58"/>
  <c r="BT41" i="58"/>
  <c r="CD19" i="58"/>
  <c r="BV34" i="58"/>
  <c r="CD55" i="58"/>
  <c r="BT34" i="58"/>
  <c r="CD12" i="58"/>
  <c r="BT49" i="58"/>
  <c r="BT35" i="58"/>
  <c r="CD13" i="58"/>
  <c r="BT50" i="58"/>
  <c r="BT54" i="58"/>
  <c r="BT58" i="58"/>
  <c r="BV43" i="58"/>
  <c r="CD64" i="58"/>
  <c r="BV47" i="58"/>
  <c r="CD68" i="58"/>
  <c r="BV51" i="58"/>
  <c r="CD72" i="58"/>
  <c r="BV55" i="58"/>
  <c r="CD76" i="58"/>
  <c r="BV36" i="58"/>
  <c r="CD57" i="58"/>
  <c r="BV41" i="58"/>
  <c r="CD62" i="58"/>
  <c r="BX30" i="58"/>
  <c r="CD106" i="58"/>
  <c r="BZ30" i="58"/>
  <c r="CD108" i="58"/>
  <c r="BT39" i="58"/>
  <c r="CD17" i="58"/>
  <c r="BT40" i="58"/>
  <c r="CD18" i="58"/>
  <c r="BT42" i="58"/>
  <c r="CD20" i="58"/>
  <c r="BQ5" i="58"/>
  <c r="BT36" i="58"/>
  <c r="CD14" i="58"/>
  <c r="BT47" i="58"/>
  <c r="CD25" i="58"/>
  <c r="BT51" i="58"/>
  <c r="BT55" i="58"/>
  <c r="BU58" i="58"/>
  <c r="CD53" i="58"/>
  <c r="BV44" i="58"/>
  <c r="CD65" i="58"/>
  <c r="BV48" i="58"/>
  <c r="CD69" i="58"/>
  <c r="BV52" i="58"/>
  <c r="CD73" i="58"/>
  <c r="BV56" i="58"/>
  <c r="CD77" i="58"/>
  <c r="BV37" i="58"/>
  <c r="CD58" i="58"/>
  <c r="BV42" i="58"/>
  <c r="CD63" i="58"/>
  <c r="BE106" i="65"/>
  <c r="BH107" i="65"/>
  <c r="BF107" i="65"/>
  <c r="BI107" i="65"/>
  <c r="BS5" i="58"/>
  <c r="BP5" i="58"/>
  <c r="BW29" i="58"/>
  <c r="BW30" i="58" s="1"/>
  <c r="S2" i="58"/>
  <c r="BI120" i="65"/>
  <c r="BH120" i="65"/>
  <c r="BF120" i="65" s="1"/>
  <c r="BH121" i="65"/>
  <c r="BF121" i="65" s="1"/>
  <c r="F167" i="58"/>
  <c r="F210" i="58" s="1"/>
  <c r="H124" i="58"/>
  <c r="P38" i="58"/>
  <c r="P81" i="58" s="1"/>
  <c r="P167" i="58"/>
  <c r="P210" i="58" s="1"/>
  <c r="H167" i="58"/>
  <c r="H210" i="58" s="1"/>
  <c r="S167" i="58"/>
  <c r="S210" i="58" s="1"/>
  <c r="S38" i="58"/>
  <c r="S81" i="58" s="1"/>
  <c r="F124" i="58"/>
  <c r="N38" i="58"/>
  <c r="N81" i="58" s="1"/>
  <c r="N124" i="58"/>
  <c r="C167" i="58"/>
  <c r="C210" i="58" s="1"/>
  <c r="BS14" i="58"/>
  <c r="S35" i="58"/>
  <c r="BS13" i="58"/>
  <c r="BS16" i="58"/>
  <c r="BS17" i="58"/>
  <c r="BS18" i="58"/>
  <c r="BS20" i="58"/>
  <c r="BS21" i="58"/>
  <c r="BS22" i="58"/>
  <c r="BS24" i="58"/>
  <c r="BS25" i="58"/>
  <c r="BS28" i="58"/>
  <c r="BS12" i="58"/>
  <c r="S3" i="58"/>
  <c r="BK61" i="58"/>
  <c r="CE110" i="58" s="1"/>
  <c r="BT29" i="58"/>
  <c r="BT30" i="58" s="1"/>
  <c r="BU29" i="58"/>
  <c r="BV29" i="58"/>
  <c r="BV30" i="58" s="1"/>
  <c r="BT3" i="58"/>
  <c r="BG3" i="58"/>
  <c r="BF124" i="65"/>
  <c r="BE133" i="65"/>
  <c r="BI132" i="65"/>
  <c r="BE132" i="65"/>
  <c r="BF129" i="65"/>
  <c r="BH112" i="65"/>
  <c r="BF112" i="65" s="1"/>
  <c r="BI129" i="65"/>
  <c r="BF133" i="65"/>
  <c r="BH109" i="65"/>
  <c r="BE109" i="65" s="1"/>
  <c r="BI113" i="65"/>
  <c r="BF136" i="65"/>
  <c r="BF141" i="65"/>
  <c r="BH140" i="65"/>
  <c r="BH139" i="65"/>
  <c r="BI135" i="65"/>
  <c r="BE128" i="65"/>
  <c r="BH124" i="65"/>
  <c r="BH117" i="65"/>
  <c r="BE117" i="65" s="1"/>
  <c r="BI121" i="65"/>
  <c r="BF130" i="65"/>
  <c r="BE135" i="65"/>
  <c r="BF123" i="65"/>
  <c r="BF122" i="65"/>
  <c r="BE136" i="65"/>
  <c r="BH131" i="65"/>
  <c r="BH128" i="65"/>
  <c r="BH111" i="65"/>
  <c r="BF111" i="65" s="1"/>
  <c r="BH108" i="65"/>
  <c r="BE108" i="65" s="1"/>
  <c r="BI141" i="65"/>
  <c r="BE139" i="65"/>
  <c r="BI139" i="65"/>
  <c r="BF139" i="65"/>
  <c r="BH141" i="65"/>
  <c r="BK32" i="65"/>
  <c r="BK36" i="65"/>
  <c r="BK30" i="65"/>
  <c r="BK34" i="65"/>
  <c r="BK38" i="65"/>
  <c r="BK39" i="65"/>
  <c r="BK37" i="65"/>
  <c r="BK35" i="65"/>
  <c r="BK33" i="65"/>
  <c r="AF35" i="2"/>
  <c r="AI35" i="2"/>
  <c r="BE111" i="65" l="1"/>
  <c r="T31" i="2"/>
  <c r="BE116" i="65"/>
  <c r="BF109" i="65"/>
  <c r="CD10" i="58"/>
  <c r="CE10" i="58" s="1"/>
  <c r="T25" i="2"/>
  <c r="CD110" i="58"/>
  <c r="BE112" i="65"/>
  <c r="BF113" i="65"/>
  <c r="BF108" i="65"/>
  <c r="CP9" i="58"/>
  <c r="CO9" i="58" s="1"/>
  <c r="BS6" i="58"/>
  <c r="BR117" i="65"/>
  <c r="BR116" i="65"/>
  <c r="BN116" i="65" s="1"/>
  <c r="BT5" i="58"/>
  <c r="BE121" i="65"/>
  <c r="CP8" i="58"/>
  <c r="CO8" i="58" s="1"/>
  <c r="V31" i="2"/>
  <c r="BF117" i="65"/>
  <c r="BS7" i="58"/>
  <c r="BR7" i="58"/>
  <c r="BR123" i="65"/>
  <c r="BY123" i="65" s="1"/>
  <c r="CP3" i="58"/>
  <c r="CP5" i="58"/>
  <c r="CP6" i="58"/>
  <c r="CP7" i="58"/>
  <c r="CP4" i="58"/>
  <c r="BR6" i="58"/>
  <c r="CD5" i="58"/>
  <c r="CE5" i="58" s="1"/>
  <c r="CD6" i="58"/>
  <c r="CE6" i="58" s="1"/>
  <c r="CD4" i="58"/>
  <c r="CE4" i="58" s="1"/>
  <c r="CD3" i="58"/>
  <c r="CE3" i="58" s="1"/>
  <c r="BQ6" i="58"/>
  <c r="BE120" i="65"/>
  <c r="BR112" i="65"/>
  <c r="BM112" i="65" s="1"/>
  <c r="BR121" i="65"/>
  <c r="BM121" i="65" s="1"/>
  <c r="BU30" i="58"/>
  <c r="BS29" i="58"/>
  <c r="BR120" i="65"/>
  <c r="BY120" i="65" s="1"/>
  <c r="BR106" i="65"/>
  <c r="BR111" i="65"/>
  <c r="BR119" i="65"/>
  <c r="BR115" i="65"/>
  <c r="BR113" i="65"/>
  <c r="BR107" i="65"/>
  <c r="BN107" i="65" s="1"/>
  <c r="BR114" i="65"/>
  <c r="BR122" i="65"/>
  <c r="BR110" i="65"/>
  <c r="BR108" i="65"/>
  <c r="BR118" i="65"/>
  <c r="BR109" i="65"/>
  <c r="CA123" i="65"/>
  <c r="BF39" i="65"/>
  <c r="BI39" i="65"/>
  <c r="BJ39" i="65"/>
  <c r="BG39" i="65"/>
  <c r="BE39" i="65"/>
  <c r="BH39" i="65"/>
  <c r="BG41" i="65"/>
  <c r="BE41" i="65"/>
  <c r="BI41" i="65"/>
  <c r="BF41" i="65"/>
  <c r="BH41" i="65"/>
  <c r="BJ41" i="65"/>
  <c r="BG31" i="65"/>
  <c r="BJ31" i="65"/>
  <c r="BF31" i="65"/>
  <c r="BH31" i="65"/>
  <c r="BI31" i="65"/>
  <c r="BE31" i="65"/>
  <c r="BE33" i="65"/>
  <c r="BH33" i="65"/>
  <c r="BG33" i="65"/>
  <c r="BF33" i="65"/>
  <c r="BI33" i="65"/>
  <c r="BJ33" i="65"/>
  <c r="BI38" i="65"/>
  <c r="BE38" i="65"/>
  <c r="BJ38" i="65"/>
  <c r="BG38" i="65"/>
  <c r="BF38" i="65"/>
  <c r="BH38" i="65"/>
  <c r="BF40" i="65"/>
  <c r="BJ40" i="65"/>
  <c r="BI40" i="65"/>
  <c r="BG40" i="65"/>
  <c r="BH40" i="65"/>
  <c r="BE40" i="65"/>
  <c r="BE35" i="65"/>
  <c r="BJ35" i="65"/>
  <c r="BF35" i="65"/>
  <c r="BH35" i="65"/>
  <c r="BG35" i="65"/>
  <c r="BI35" i="65"/>
  <c r="BH34" i="65"/>
  <c r="BG34" i="65"/>
  <c r="BI34" i="65"/>
  <c r="BE34" i="65"/>
  <c r="BJ34" i="65"/>
  <c r="BF34" i="65"/>
  <c r="BE36" i="65"/>
  <c r="BG36" i="65"/>
  <c r="BF36" i="65"/>
  <c r="BH36" i="65"/>
  <c r="BI36" i="65"/>
  <c r="BJ36" i="65"/>
  <c r="BE37" i="65"/>
  <c r="BJ37" i="65"/>
  <c r="BG37" i="65"/>
  <c r="BI37" i="65"/>
  <c r="BF37" i="65"/>
  <c r="BH37" i="65"/>
  <c r="BH30" i="65"/>
  <c r="BE30" i="65"/>
  <c r="BI30" i="65"/>
  <c r="BF56" i="2" s="1"/>
  <c r="BG30" i="65"/>
  <c r="BF30" i="65"/>
  <c r="BJ30" i="65"/>
  <c r="BE32" i="65"/>
  <c r="BJ32" i="65"/>
  <c r="BG32" i="65"/>
  <c r="BF32" i="65"/>
  <c r="BH32" i="65"/>
  <c r="BI32" i="65"/>
  <c r="CK13" i="58" l="1"/>
  <c r="CI13" i="58" s="1"/>
  <c r="CK16" i="58"/>
  <c r="CI16" i="58" s="1"/>
  <c r="CK12" i="58"/>
  <c r="CI12" i="58" s="1"/>
  <c r="CK11" i="58"/>
  <c r="CI11" i="58" s="1"/>
  <c r="CK8" i="58"/>
  <c r="CI8" i="58" s="1"/>
  <c r="CK10" i="58"/>
  <c r="CI10" i="58" s="1"/>
  <c r="CK17" i="58"/>
  <c r="CI17" i="58" s="1"/>
  <c r="CK9" i="58"/>
  <c r="CI9" i="58" s="1"/>
  <c r="CK15" i="58"/>
  <c r="CI15" i="58" s="1"/>
  <c r="CK7" i="58"/>
  <c r="CI7" i="58" s="1"/>
  <c r="CK14" i="58"/>
  <c r="CI14" i="58" s="1"/>
  <c r="CK6" i="58"/>
  <c r="CI6" i="58" s="1"/>
  <c r="CK4" i="58"/>
  <c r="CK3" i="58"/>
  <c r="CK5" i="58"/>
  <c r="BF53" i="2"/>
  <c r="CN9" i="58"/>
  <c r="CQ9" i="58"/>
  <c r="CQ8" i="58"/>
  <c r="CN8" i="58"/>
  <c r="BU121" i="65"/>
  <c r="BV121" i="65" s="1"/>
  <c r="Z20" i="2" s="1"/>
  <c r="BL112" i="65"/>
  <c r="BT112" i="65" s="1"/>
  <c r="Y11" i="2" s="1"/>
  <c r="BL116" i="65"/>
  <c r="BM123" i="65"/>
  <c r="T24" i="2"/>
  <c r="T29" i="2" s="1"/>
  <c r="BU123" i="65"/>
  <c r="BV123" i="65" s="1"/>
  <c r="BL123" i="65"/>
  <c r="BX123" i="65"/>
  <c r="BO123" i="65"/>
  <c r="BN123" i="65"/>
  <c r="BO116" i="65"/>
  <c r="BF50" i="2"/>
  <c r="BP123" i="65"/>
  <c r="BT123" i="65"/>
  <c r="BW123" i="65"/>
  <c r="BZ123" i="65"/>
  <c r="CO3" i="58"/>
  <c r="CN3" i="58"/>
  <c r="CQ3" i="58"/>
  <c r="CO7" i="58"/>
  <c r="CQ7" i="58"/>
  <c r="CN7" i="58"/>
  <c r="CN4" i="58"/>
  <c r="CQ4" i="58"/>
  <c r="CO4" i="58"/>
  <c r="CN6" i="58"/>
  <c r="CQ6" i="58"/>
  <c r="CO6" i="58"/>
  <c r="CN5" i="58"/>
  <c r="CQ5" i="58"/>
  <c r="CO5" i="58"/>
  <c r="BL106" i="65"/>
  <c r="BT106" i="65" s="1"/>
  <c r="BP106" i="65"/>
  <c r="BY106" i="65" s="1"/>
  <c r="BX116" i="65"/>
  <c r="BX121" i="65"/>
  <c r="BO112" i="65"/>
  <c r="BX112" i="65" s="1"/>
  <c r="BF54" i="2"/>
  <c r="T45" i="2"/>
  <c r="BP6" i="58"/>
  <c r="T23" i="2" s="1"/>
  <c r="BU116" i="65"/>
  <c r="BV116" i="65" s="1"/>
  <c r="BO121" i="65"/>
  <c r="BY121" i="65"/>
  <c r="AE20" i="2" s="1"/>
  <c r="BZ121" i="65"/>
  <c r="BN112" i="65"/>
  <c r="BW112" i="65" s="1"/>
  <c r="AA11" i="2" s="1"/>
  <c r="AD11" i="2" s="1"/>
  <c r="BP112" i="65"/>
  <c r="BY112" i="65" s="1"/>
  <c r="BZ116" i="65"/>
  <c r="BN121" i="65"/>
  <c r="BW121" i="65"/>
  <c r="BP121" i="65"/>
  <c r="BU112" i="65"/>
  <c r="BV112" i="65" s="1"/>
  <c r="Z11" i="2" s="1"/>
  <c r="BT121" i="65"/>
  <c r="BL121" i="65"/>
  <c r="BW116" i="65"/>
  <c r="BT116" i="65"/>
  <c r="BM116" i="65"/>
  <c r="BY116" i="65"/>
  <c r="T37" i="2"/>
  <c r="BP120" i="65"/>
  <c r="BT120" i="65"/>
  <c r="Y19" i="2" s="1"/>
  <c r="BU120" i="65"/>
  <c r="BV120" i="65" s="1"/>
  <c r="BW120" i="65"/>
  <c r="AA19" i="2" s="1"/>
  <c r="AD19" i="2" s="1"/>
  <c r="BN120" i="65"/>
  <c r="BP116" i="65"/>
  <c r="BX120" i="65"/>
  <c r="BM120" i="65"/>
  <c r="BL120" i="65"/>
  <c r="BO120" i="65"/>
  <c r="BZ120" i="65"/>
  <c r="BO113" i="65"/>
  <c r="BX113" i="65" s="1"/>
  <c r="BL113" i="65"/>
  <c r="BT113" i="65" s="1"/>
  <c r="BP113" i="65"/>
  <c r="BY113" i="65" s="1"/>
  <c r="BN113" i="65"/>
  <c r="BW113" i="65" s="1"/>
  <c r="BM113" i="65"/>
  <c r="BU113" i="65" s="1"/>
  <c r="BV113" i="65" s="1"/>
  <c r="BN109" i="65"/>
  <c r="BW109" i="65" s="1"/>
  <c r="AA8" i="2" s="1"/>
  <c r="BL109" i="65"/>
  <c r="BT109" i="65" s="1"/>
  <c r="BP109" i="65"/>
  <c r="BY109" i="65" s="1"/>
  <c r="BM109" i="65"/>
  <c r="BU109" i="65" s="1"/>
  <c r="BV109" i="65" s="1"/>
  <c r="BO109" i="65"/>
  <c r="BX109" i="65" s="1"/>
  <c r="BZ122" i="65"/>
  <c r="BU122" i="65"/>
  <c r="BV122" i="65" s="1"/>
  <c r="BP122" i="65"/>
  <c r="BL122" i="65"/>
  <c r="BT122" i="65"/>
  <c r="BW122" i="65"/>
  <c r="BN122" i="65"/>
  <c r="BY122" i="65"/>
  <c r="BM122" i="65"/>
  <c r="BX122" i="65"/>
  <c r="BO122" i="65"/>
  <c r="BY117" i="65"/>
  <c r="BO117" i="65"/>
  <c r="BT117" i="65"/>
  <c r="BP117" i="65"/>
  <c r="BN117" i="65"/>
  <c r="BX117" i="65"/>
  <c r="BU117" i="65"/>
  <c r="BV117" i="65" s="1"/>
  <c r="BZ117" i="65"/>
  <c r="BM117" i="65"/>
  <c r="BL117" i="65"/>
  <c r="BW117" i="65"/>
  <c r="BN106" i="65"/>
  <c r="BW106" i="65" s="1"/>
  <c r="BM106" i="65"/>
  <c r="BU106" i="65" s="1"/>
  <c r="BV106" i="65" s="1"/>
  <c r="BO106" i="65"/>
  <c r="BX106" i="65" s="1"/>
  <c r="AE19" i="2"/>
  <c r="BX118" i="65"/>
  <c r="BN118" i="65"/>
  <c r="BL118" i="65"/>
  <c r="BU118" i="65"/>
  <c r="BV118" i="65" s="1"/>
  <c r="BM118" i="65"/>
  <c r="BT118" i="65"/>
  <c r="BO118" i="65"/>
  <c r="BY118" i="65"/>
  <c r="BZ118" i="65"/>
  <c r="BP118" i="65"/>
  <c r="BW118" i="65"/>
  <c r="BY114" i="65"/>
  <c r="BM114" i="65"/>
  <c r="BZ114" i="65"/>
  <c r="BN114" i="65"/>
  <c r="BO114" i="65"/>
  <c r="BW114" i="65"/>
  <c r="BT114" i="65"/>
  <c r="BU114" i="65"/>
  <c r="BV114" i="65" s="1"/>
  <c r="BP114" i="65"/>
  <c r="BX114" i="65"/>
  <c r="BL114" i="65"/>
  <c r="BT115" i="65"/>
  <c r="BO115" i="65"/>
  <c r="BX115" i="65"/>
  <c r="BL115" i="65"/>
  <c r="BY115" i="65"/>
  <c r="BU115" i="65"/>
  <c r="BV115" i="65" s="1"/>
  <c r="BP115" i="65"/>
  <c r="BM115" i="65"/>
  <c r="BZ115" i="65"/>
  <c r="BN115" i="65"/>
  <c r="BW115" i="65"/>
  <c r="BP108" i="65"/>
  <c r="BY108" i="65" s="1"/>
  <c r="BL108" i="65"/>
  <c r="BT108" i="65" s="1"/>
  <c r="BM108" i="65"/>
  <c r="BU108" i="65" s="1"/>
  <c r="BV108" i="65" s="1"/>
  <c r="BN108" i="65"/>
  <c r="BW108" i="65" s="1"/>
  <c r="BO108" i="65"/>
  <c r="BW107" i="65"/>
  <c r="AA6" i="2" s="1"/>
  <c r="AD6" i="2" s="1"/>
  <c r="BP107" i="65"/>
  <c r="BY107" i="65" s="1"/>
  <c r="BM107" i="65"/>
  <c r="BU107" i="65" s="1"/>
  <c r="BV107" i="65" s="1"/>
  <c r="BL107" i="65"/>
  <c r="BT107" i="65" s="1"/>
  <c r="BO107" i="65"/>
  <c r="BM119" i="65"/>
  <c r="BN119" i="65"/>
  <c r="BY119" i="65"/>
  <c r="BO119" i="65"/>
  <c r="BL119" i="65"/>
  <c r="BZ119" i="65"/>
  <c r="BT119" i="65"/>
  <c r="BU119" i="65"/>
  <c r="BV119" i="65" s="1"/>
  <c r="BX119" i="65"/>
  <c r="BP119" i="65"/>
  <c r="BW119" i="65"/>
  <c r="BL110" i="65"/>
  <c r="BT110" i="65" s="1"/>
  <c r="BM110" i="65"/>
  <c r="BU110" i="65" s="1"/>
  <c r="BV110" i="65" s="1"/>
  <c r="BP110" i="65"/>
  <c r="BY110" i="65" s="1"/>
  <c r="BN110" i="65"/>
  <c r="BW110" i="65" s="1"/>
  <c r="BO110" i="65"/>
  <c r="BX110" i="65" s="1"/>
  <c r="BN111" i="65"/>
  <c r="BW111" i="65" s="1"/>
  <c r="BP111" i="65"/>
  <c r="BY111" i="65" s="1"/>
  <c r="BM111" i="65"/>
  <c r="BU111" i="65" s="1"/>
  <c r="BV111" i="65" s="1"/>
  <c r="BL111" i="65"/>
  <c r="BT111" i="65" s="1"/>
  <c r="BO111" i="65"/>
  <c r="BG55" i="2"/>
  <c r="BG57" i="2" s="1"/>
  <c r="AW27" i="2" s="1"/>
  <c r="BC51" i="65"/>
  <c r="BC53" i="65"/>
  <c r="BC50" i="65"/>
  <c r="BC49" i="65"/>
  <c r="BC52" i="65"/>
  <c r="CJ17" i="58" l="1"/>
  <c r="CJ9" i="58"/>
  <c r="CJ16" i="58"/>
  <c r="CJ7" i="58"/>
  <c r="CJ10" i="58"/>
  <c r="CJ8" i="58"/>
  <c r="CJ13" i="58"/>
  <c r="CJ15" i="58"/>
  <c r="CJ12" i="58"/>
  <c r="CJ11" i="58"/>
  <c r="CJ14" i="58"/>
  <c r="CJ6" i="58"/>
  <c r="CI5" i="58"/>
  <c r="CJ5" i="58"/>
  <c r="CI4" i="58"/>
  <c r="CJ4" i="58"/>
  <c r="CI3" i="58"/>
  <c r="CJ3" i="58"/>
  <c r="BF57" i="2"/>
  <c r="AW25" i="2" s="1"/>
  <c r="BQ116" i="65"/>
  <c r="AE11" i="2"/>
  <c r="AW11" i="2" s="1"/>
  <c r="Y15" i="2"/>
  <c r="BQ123" i="65"/>
  <c r="Z19" i="2"/>
  <c r="Z15" i="2"/>
  <c r="BQ112" i="65"/>
  <c r="BZ112" i="65" s="1"/>
  <c r="AA20" i="2"/>
  <c r="AD20" i="2" s="1"/>
  <c r="AW20" i="2" s="1"/>
  <c r="CN10" i="58"/>
  <c r="BQ121" i="65"/>
  <c r="AE22" i="2"/>
  <c r="AW22" i="2" s="1"/>
  <c r="BQ122" i="65"/>
  <c r="Y20" i="2"/>
  <c r="AA15" i="2"/>
  <c r="AD15" i="2" s="1"/>
  <c r="AE15" i="2"/>
  <c r="BQ120" i="65"/>
  <c r="BQ108" i="65"/>
  <c r="BZ108" i="65" s="1"/>
  <c r="BQ107" i="65"/>
  <c r="BZ107" i="65" s="1"/>
  <c r="BQ118" i="65"/>
  <c r="AW19" i="2"/>
  <c r="BQ117" i="65"/>
  <c r="BQ113" i="65"/>
  <c r="BZ113" i="65" s="1"/>
  <c r="Y10" i="2"/>
  <c r="AE5" i="2"/>
  <c r="AE7" i="2"/>
  <c r="AE10" i="2"/>
  <c r="Y6" i="2"/>
  <c r="Z10" i="2"/>
  <c r="Z9" i="2"/>
  <c r="Y9" i="2"/>
  <c r="AA18" i="2"/>
  <c r="AD18" i="2" s="1"/>
  <c r="Y18" i="2"/>
  <c r="AE18" i="2"/>
  <c r="AE6" i="2"/>
  <c r="Z7" i="2"/>
  <c r="AE14" i="2"/>
  <c r="Y14" i="2"/>
  <c r="Z13" i="2"/>
  <c r="AA17" i="2"/>
  <c r="AD17" i="2" s="1"/>
  <c r="Z5" i="2"/>
  <c r="Z8" i="2"/>
  <c r="AD8" i="2"/>
  <c r="Z12" i="2"/>
  <c r="BQ111" i="65"/>
  <c r="BZ111" i="65" s="1"/>
  <c r="AA10" i="2"/>
  <c r="AD10" i="2" s="1"/>
  <c r="AA9" i="2"/>
  <c r="AD9" i="2" s="1"/>
  <c r="AE9" i="2"/>
  <c r="Z6" i="2"/>
  <c r="BX108" i="65"/>
  <c r="Y13" i="2"/>
  <c r="Y17" i="2"/>
  <c r="Y5" i="2"/>
  <c r="AE16" i="2"/>
  <c r="AE8" i="2"/>
  <c r="AE12" i="2"/>
  <c r="BX111" i="65"/>
  <c r="AA7" i="2"/>
  <c r="AD7" i="2" s="1"/>
  <c r="Y7" i="2"/>
  <c r="AA14" i="2"/>
  <c r="AD14" i="2" s="1"/>
  <c r="AA13" i="2"/>
  <c r="AD13" i="2" s="1"/>
  <c r="Y8" i="2"/>
  <c r="Y12" i="2"/>
  <c r="BQ110" i="65"/>
  <c r="BZ110" i="65" s="1"/>
  <c r="Z18" i="2"/>
  <c r="BQ119" i="65"/>
  <c r="BX107" i="65"/>
  <c r="Z14" i="2"/>
  <c r="BQ115" i="65"/>
  <c r="BQ114" i="65"/>
  <c r="AE13" i="2"/>
  <c r="AE17" i="2"/>
  <c r="Z17" i="2"/>
  <c r="BQ106" i="65"/>
  <c r="BZ106" i="65" s="1"/>
  <c r="AA5" i="2"/>
  <c r="AD5" i="2" s="1"/>
  <c r="AA16" i="2"/>
  <c r="AD16" i="2" s="1"/>
  <c r="Z16" i="2"/>
  <c r="Y16" i="2"/>
  <c r="BQ109" i="65"/>
  <c r="BZ109" i="65" s="1"/>
  <c r="AA12" i="2"/>
  <c r="AD12" i="2" s="1"/>
  <c r="CO21" i="2" l="1"/>
  <c r="CO38" i="2" s="1"/>
  <c r="CO39" i="2" s="1"/>
  <c r="CR21" i="2"/>
  <c r="CR36" i="2" s="1"/>
  <c r="CR37" i="2" s="1"/>
  <c r="CS21" i="2"/>
  <c r="CS38" i="2" s="1"/>
  <c r="CS39" i="2" s="1"/>
  <c r="CI21" i="2"/>
  <c r="CI36" i="2" s="1"/>
  <c r="CL21" i="2"/>
  <c r="CL36" i="2" s="1"/>
  <c r="CL37" i="2" s="1"/>
  <c r="CS36" i="2"/>
  <c r="CS37" i="2" s="1"/>
  <c r="AW12" i="2"/>
  <c r="AW16" i="2"/>
  <c r="AW15" i="2"/>
  <c r="BF8" i="66"/>
  <c r="AW10" i="2"/>
  <c r="AW14" i="2"/>
  <c r="AW18" i="2"/>
  <c r="AW9" i="2"/>
  <c r="AW6" i="2"/>
  <c r="AW5" i="2"/>
  <c r="AW7" i="2"/>
  <c r="AW13" i="2"/>
  <c r="AW8" i="2"/>
  <c r="AW17" i="2"/>
  <c r="AU21" i="2"/>
  <c r="AO21" i="2"/>
  <c r="AV21" i="2"/>
  <c r="AI21" i="2"/>
  <c r="AL21" i="2"/>
  <c r="AR21" i="2"/>
  <c r="AF21" i="2"/>
  <c r="CO36" i="2" l="1"/>
  <c r="CO37" i="2" s="1"/>
  <c r="CI38" i="2"/>
  <c r="CL38" i="2"/>
  <c r="CL39" i="2" s="1"/>
  <c r="CR38" i="2"/>
  <c r="CR39" i="2" s="1"/>
  <c r="CI39" i="2"/>
  <c r="CI37" i="2"/>
  <c r="AW21" i="2"/>
  <c r="BF5" i="66"/>
  <c r="BF7" i="66"/>
  <c r="BF6" i="66"/>
  <c r="BF3" i="66"/>
  <c r="BF4" i="66"/>
  <c r="AI36" i="2"/>
  <c r="AI37" i="2" s="1"/>
  <c r="AI38" i="2"/>
  <c r="AI39" i="2" s="1"/>
  <c r="AF36" i="2"/>
  <c r="AF38" i="2"/>
  <c r="AF39" i="2" s="1"/>
  <c r="AV38" i="2"/>
  <c r="AV39" i="2" s="1"/>
  <c r="AR38" i="2"/>
  <c r="AR39" i="2" s="1"/>
  <c r="AR36" i="2"/>
  <c r="AR37" i="2" s="1"/>
  <c r="AL36" i="2"/>
  <c r="AL37" i="2" s="1"/>
  <c r="AL38" i="2"/>
  <c r="AL39" i="2" s="1"/>
  <c r="AU38" i="2"/>
  <c r="AU39" i="2" s="1"/>
  <c r="AU36" i="2"/>
  <c r="AU37" i="2" s="1"/>
  <c r="AO36" i="2"/>
  <c r="AO37" i="2" s="1"/>
  <c r="AO38" i="2"/>
  <c r="AO39" i="2" s="1"/>
  <c r="CT36" i="2" l="1"/>
  <c r="CT37" i="2"/>
  <c r="CT38" i="2"/>
  <c r="CT39" i="2"/>
  <c r="AW39" i="2"/>
  <c r="AW38" i="2"/>
  <c r="AF37" i="2"/>
  <c r="AV36" i="2"/>
  <c r="AW36" i="2" s="1"/>
  <c r="AW31" i="2"/>
  <c r="AW35" i="2" s="1"/>
  <c r="AV37" i="2" l="1"/>
  <c r="AW37" i="2" s="1"/>
  <c r="H19"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Windows User</author>
  </authors>
  <commentList>
    <comment ref="C18" authorId="0" shapeId="0" xr:uid="{327EC02E-90E0-4F9E-A715-49A720314F30}">
      <text>
        <r>
          <rPr>
            <b/>
            <sz val="9"/>
            <color indexed="81"/>
            <rFont val="BIZ UDPゴシック"/>
            <family val="3"/>
            <charset val="128"/>
          </rPr>
          <t>メニューを選択してください。</t>
        </r>
      </text>
    </comment>
    <comment ref="B21" authorId="1" shapeId="0" xr:uid="{00000000-0006-0000-0400-000001000000}">
      <text>
        <r>
          <rPr>
            <b/>
            <sz val="9"/>
            <color indexed="81"/>
            <rFont val="BIZ UDPゴシック"/>
            <family val="3"/>
            <charset val="128"/>
          </rPr>
          <t>リストから選択してください。</t>
        </r>
      </text>
    </comment>
    <comment ref="B23" authorId="1" shapeId="0" xr:uid="{00000000-0006-0000-0400-000002000000}">
      <text>
        <r>
          <rPr>
            <b/>
            <sz val="9"/>
            <color indexed="81"/>
            <rFont val="BIZ UDPゴシック"/>
            <family val="3"/>
            <charset val="128"/>
          </rPr>
          <t>リストから選択してください。</t>
        </r>
      </text>
    </comment>
    <comment ref="B25" authorId="1" shapeId="0" xr:uid="{00000000-0006-0000-0400-000003000000}">
      <text>
        <r>
          <rPr>
            <b/>
            <sz val="9"/>
            <color indexed="81"/>
            <rFont val="BIZ UDPゴシック"/>
            <family val="3"/>
            <charset val="128"/>
          </rPr>
          <t>リストから選択してください。</t>
        </r>
      </text>
    </comment>
    <comment ref="B27" authorId="1" shapeId="0" xr:uid="{00000000-0006-0000-0400-000004000000}">
      <text>
        <r>
          <rPr>
            <b/>
            <sz val="9"/>
            <color indexed="81"/>
            <rFont val="BIZ UDPゴシック"/>
            <family val="3"/>
            <charset val="128"/>
          </rPr>
          <t>リストから選択してください。</t>
        </r>
      </text>
    </comment>
    <comment ref="B76" authorId="1" shapeId="0" xr:uid="{2AF4149A-F211-4AB4-9356-0D08C4C7F71B}">
      <text>
        <r>
          <rPr>
            <sz val="9"/>
            <color indexed="81"/>
            <rFont val="ＭＳ Ｐゴシック"/>
            <family val="3"/>
            <charset val="128"/>
          </rPr>
          <t>リストから選択してください。</t>
        </r>
      </text>
    </comment>
    <comment ref="B78" authorId="1" shapeId="0" xr:uid="{F130D370-1E56-4075-ADBE-88FC8C326B05}">
      <text>
        <r>
          <rPr>
            <sz val="9"/>
            <color indexed="81"/>
            <rFont val="MS P ゴシック"/>
            <family val="3"/>
            <charset val="128"/>
          </rPr>
          <t>リストから選択してください</t>
        </r>
      </text>
    </comment>
    <comment ref="B80" authorId="1" shapeId="0" xr:uid="{E25F0F6B-7E3C-4501-AFF4-A33B3906E819}">
      <text>
        <r>
          <rPr>
            <sz val="9"/>
            <color indexed="81"/>
            <rFont val="MS P ゴシック"/>
            <family val="3"/>
            <charset val="128"/>
          </rPr>
          <t>リストから選択してください</t>
        </r>
      </text>
    </comment>
    <comment ref="B82" authorId="1" shapeId="0" xr:uid="{61B66908-34F6-4F7C-A146-3C046C421913}">
      <text>
        <r>
          <rPr>
            <sz val="9"/>
            <color indexed="81"/>
            <rFont val="MS P ゴシック"/>
            <family val="3"/>
            <charset val="128"/>
          </rPr>
          <t>リストから選択してください</t>
        </r>
      </text>
    </comment>
    <comment ref="B131" authorId="1" shapeId="0" xr:uid="{FA5A9C3C-AF32-4F9F-AF8E-D93976C6A6BB}">
      <text>
        <r>
          <rPr>
            <sz val="9"/>
            <color indexed="81"/>
            <rFont val="ＭＳ Ｐゴシック"/>
            <family val="3"/>
            <charset val="128"/>
          </rPr>
          <t>リストから選択してください。</t>
        </r>
      </text>
    </comment>
    <comment ref="B133" authorId="1" shapeId="0" xr:uid="{69AD7E78-7994-4A1B-8548-59453C120F6B}">
      <text>
        <r>
          <rPr>
            <sz val="9"/>
            <color indexed="81"/>
            <rFont val="MS P ゴシック"/>
            <family val="3"/>
            <charset val="128"/>
          </rPr>
          <t>リストから選択してください</t>
        </r>
      </text>
    </comment>
    <comment ref="B135" authorId="1" shapeId="0" xr:uid="{2E07B1BA-9354-4D66-81B8-730099AAC2F4}">
      <text>
        <r>
          <rPr>
            <sz val="9"/>
            <color indexed="81"/>
            <rFont val="MS P ゴシック"/>
            <family val="3"/>
            <charset val="128"/>
          </rPr>
          <t>リストから選択してください</t>
        </r>
      </text>
    </comment>
    <comment ref="B137" authorId="1" shapeId="0" xr:uid="{E5A31FCB-B1F4-40D9-B177-AA1D7643773C}">
      <text>
        <r>
          <rPr>
            <sz val="9"/>
            <color indexed="81"/>
            <rFont val="MS P ゴシック"/>
            <family val="3"/>
            <charset val="128"/>
          </rPr>
          <t>リストから選択してください</t>
        </r>
      </text>
    </comment>
    <comment ref="B186" authorId="1" shapeId="0" xr:uid="{E213CD1F-B8E6-45C4-86EF-590FAC1D26F3}">
      <text>
        <r>
          <rPr>
            <sz val="9"/>
            <color indexed="81"/>
            <rFont val="ＭＳ Ｐゴシック"/>
            <family val="3"/>
            <charset val="128"/>
          </rPr>
          <t>リストから選択してください。</t>
        </r>
      </text>
    </comment>
    <comment ref="B188" authorId="1" shapeId="0" xr:uid="{F1C55CCB-42EC-4CF3-A6A7-A663B5302E2B}">
      <text>
        <r>
          <rPr>
            <sz val="9"/>
            <color indexed="81"/>
            <rFont val="MS P ゴシック"/>
            <family val="3"/>
            <charset val="128"/>
          </rPr>
          <t>リストから選択してください</t>
        </r>
      </text>
    </comment>
    <comment ref="B190" authorId="1" shapeId="0" xr:uid="{B0D7ABF6-938D-4AD0-AF63-331338E1ABDF}">
      <text>
        <r>
          <rPr>
            <sz val="9"/>
            <color indexed="81"/>
            <rFont val="MS P ゴシック"/>
            <family val="3"/>
            <charset val="128"/>
          </rPr>
          <t>リストから選択してください</t>
        </r>
      </text>
    </comment>
    <comment ref="B192" authorId="1" shapeId="0" xr:uid="{B91C5A16-ABDE-4387-B378-740F740630D9}">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4EDF4178-500D-4AC4-91BE-5E6181C7CCF9}">
      <text>
        <r>
          <rPr>
            <b/>
            <sz val="10"/>
            <color indexed="81"/>
            <rFont val="BIZ UDPゴシック"/>
            <family val="3"/>
            <charset val="128"/>
          </rPr>
          <t>コピー＆ペーストができます。</t>
        </r>
      </text>
    </comment>
    <comment ref="J13" authorId="0" shapeId="0" xr:uid="{66B5D913-7F6F-4447-A266-761DFC419D50}">
      <text>
        <r>
          <rPr>
            <b/>
            <sz val="10"/>
            <color indexed="81"/>
            <rFont val="BIZ UDPゴシック"/>
            <family val="3"/>
            <charset val="128"/>
          </rPr>
          <t>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AE29" authorId="0" shapeId="0" xr:uid="{33C6844D-B937-4A3F-A366-2A8777FE59E6}">
      <text>
        <r>
          <rPr>
            <b/>
            <sz val="11"/>
            <color indexed="81"/>
            <rFont val="BIZ UDPゴシック"/>
            <family val="3"/>
            <charset val="128"/>
          </rPr>
          <t>【01使用承認申請書】の「キャンプファイヤー実施希望」にチェックをつけましたか？</t>
        </r>
      </text>
    </comment>
    <comment ref="CB29" authorId="0" shapeId="0" xr:uid="{97187A30-10AC-405B-826A-75AE8EA12FE1}">
      <text>
        <r>
          <rPr>
            <b/>
            <sz val="11"/>
            <color indexed="81"/>
            <rFont val="BIZ UDPゴシック"/>
            <family val="3"/>
            <charset val="128"/>
          </rPr>
          <t>【01使用承認申請書】の「キャンプファイヤー実施希望」にチェックをつけましたか？</t>
        </r>
      </text>
    </comment>
  </commentList>
</comments>
</file>

<file path=xl/sharedStrings.xml><?xml version="1.0" encoding="utf-8"?>
<sst xmlns="http://schemas.openxmlformats.org/spreadsheetml/2006/main" count="5761" uniqueCount="3128">
  <si>
    <t>郵便</t>
    <rPh sb="0" eb="2">
      <t>ユウビン</t>
    </rPh>
    <phoneticPr fontId="5"/>
  </si>
  <si>
    <t>E-MAIL</t>
    <phoneticPr fontId="5"/>
  </si>
  <si>
    <t>提出時期</t>
    <rPh sb="0" eb="2">
      <t>テイシュツ</t>
    </rPh>
    <rPh sb="2" eb="4">
      <t>ジキ</t>
    </rPh>
    <phoneticPr fontId="5"/>
  </si>
  <si>
    <t>riyou@sapporo-yamanoie.jp</t>
    <phoneticPr fontId="5"/>
  </si>
  <si>
    <t>申請書類の記入・提出</t>
    <phoneticPr fontId="5"/>
  </si>
  <si>
    <t>（１）　記入方法</t>
    <rPh sb="4" eb="6">
      <t>キニュウ</t>
    </rPh>
    <rPh sb="6" eb="8">
      <t>ホウホウ</t>
    </rPh>
    <phoneticPr fontId="5"/>
  </si>
  <si>
    <t>（２）　提出時期</t>
    <rPh sb="4" eb="6">
      <t>テイシュツ</t>
    </rPh>
    <rPh sb="6" eb="8">
      <t>ジキ</t>
    </rPh>
    <phoneticPr fontId="5"/>
  </si>
  <si>
    <t>１　記入及び提出時期・方法</t>
    <rPh sb="2" eb="4">
      <t>キニュウ</t>
    </rPh>
    <rPh sb="4" eb="5">
      <t>オヨ</t>
    </rPh>
    <rPh sb="6" eb="8">
      <t>テイシュツ</t>
    </rPh>
    <rPh sb="8" eb="10">
      <t>ジキ</t>
    </rPh>
    <rPh sb="11" eb="13">
      <t>ホウホウ</t>
    </rPh>
    <phoneticPr fontId="5"/>
  </si>
  <si>
    <t>（３）　提出方法</t>
    <rPh sb="4" eb="6">
      <t>テイシュツ</t>
    </rPh>
    <rPh sb="6" eb="8">
      <t>ホウホウ</t>
    </rPh>
    <phoneticPr fontId="5"/>
  </si>
  <si>
    <t>〒005-0862　札幌市南区滝野247番地　札幌市青少年山の家　相談担当あて</t>
    <rPh sb="33" eb="35">
      <t>ソウダン</t>
    </rPh>
    <phoneticPr fontId="5"/>
  </si>
  <si>
    <t>起　　案</t>
    <rPh sb="0" eb="1">
      <t>オキ</t>
    </rPh>
    <rPh sb="3" eb="4">
      <t>アン</t>
    </rPh>
    <phoneticPr fontId="3"/>
  </si>
  <si>
    <t>係</t>
    <rPh sb="0" eb="1">
      <t>カカリ</t>
    </rPh>
    <phoneticPr fontId="3"/>
  </si>
  <si>
    <t>指定管理者：公益財団法人さっぽろ青少年女性活動協会理事長</t>
    <phoneticPr fontId="3"/>
  </si>
  <si>
    <t>札幌市青少年山の家</t>
    <phoneticPr fontId="3"/>
  </si>
  <si>
    <t>【宛先】</t>
    <rPh sb="1" eb="3">
      <t>アテサキ</t>
    </rPh>
    <phoneticPr fontId="3"/>
  </si>
  <si>
    <t>札幌市青少年山の家</t>
    <phoneticPr fontId="3"/>
  </si>
  <si>
    <t>日</t>
    <rPh sb="0" eb="1">
      <t>ニチ</t>
    </rPh>
    <phoneticPr fontId="3"/>
  </si>
  <si>
    <t>月</t>
    <rPh sb="0" eb="1">
      <t>ガツ</t>
    </rPh>
    <phoneticPr fontId="3"/>
  </si>
  <si>
    <t>年</t>
    <rPh sb="0" eb="1">
      <t>ネン</t>
    </rPh>
    <phoneticPr fontId="3"/>
  </si>
  <si>
    <t>利用計画書及び利用者名簿等を添付し、上記のとおり申し込みます。</t>
    <rPh sb="0" eb="2">
      <t>リヨウ</t>
    </rPh>
    <rPh sb="2" eb="5">
      <t>ケイカクショ</t>
    </rPh>
    <rPh sb="5" eb="6">
      <t>オヨ</t>
    </rPh>
    <rPh sb="7" eb="9">
      <t>リヨウ</t>
    </rPh>
    <rPh sb="9" eb="10">
      <t>シャ</t>
    </rPh>
    <rPh sb="10" eb="12">
      <t>メイボ</t>
    </rPh>
    <rPh sb="12" eb="13">
      <t>ナド</t>
    </rPh>
    <rPh sb="14" eb="16">
      <t>テンプ</t>
    </rPh>
    <rPh sb="18" eb="20">
      <t>ジョウキ</t>
    </rPh>
    <rPh sb="24" eb="25">
      <t>モウ</t>
    </rPh>
    <rPh sb="26" eb="27">
      <t>コ</t>
    </rPh>
    <phoneticPr fontId="3"/>
  </si>
  <si>
    <t>］</t>
    <phoneticPr fontId="3"/>
  </si>
  <si>
    <t xml:space="preserve"> その他　［</t>
    <rPh sb="3" eb="4">
      <t>タ</t>
    </rPh>
    <phoneticPr fontId="3"/>
  </si>
  <si>
    <t>］</t>
    <phoneticPr fontId="3"/>
  </si>
  <si>
    <t xml:space="preserve"> 車両動向報告書</t>
    <rPh sb="1" eb="3">
      <t>シャリョウ</t>
    </rPh>
    <rPh sb="3" eb="5">
      <t>ドウコウ</t>
    </rPh>
    <rPh sb="5" eb="8">
      <t>ホウコクショ</t>
    </rPh>
    <phoneticPr fontId="3"/>
  </si>
  <si>
    <t xml:space="preserve"> 使用料減免申請書</t>
    <rPh sb="1" eb="4">
      <t>シヨウリョウ</t>
    </rPh>
    <rPh sb="4" eb="6">
      <t>ゲンメン</t>
    </rPh>
    <rPh sb="6" eb="8">
      <t>シンセイ</t>
    </rPh>
    <rPh sb="8" eb="9">
      <t>ショ</t>
    </rPh>
    <phoneticPr fontId="3"/>
  </si>
  <si>
    <t xml:space="preserve"> 人数報告用紙</t>
    <rPh sb="1" eb="3">
      <t>ニンズウ</t>
    </rPh>
    <rPh sb="3" eb="5">
      <t>ホウコク</t>
    </rPh>
    <rPh sb="5" eb="7">
      <t>ヨウシ</t>
    </rPh>
    <phoneticPr fontId="3"/>
  </si>
  <si>
    <t xml:space="preserve"> 利用者名簿</t>
    <rPh sb="1" eb="4">
      <t>リヨウシャ</t>
    </rPh>
    <rPh sb="4" eb="6">
      <t>メイボ</t>
    </rPh>
    <phoneticPr fontId="3"/>
  </si>
  <si>
    <t xml:space="preserve"> 食物アレルギー確認書</t>
    <rPh sb="1" eb="3">
      <t>ショクモツ</t>
    </rPh>
    <rPh sb="8" eb="11">
      <t>カクニンショ</t>
    </rPh>
    <phoneticPr fontId="3"/>
  </si>
  <si>
    <t xml:space="preserve"> 食事申込書</t>
    <rPh sb="1" eb="3">
      <t>ショクジ</t>
    </rPh>
    <rPh sb="3" eb="6">
      <t>モウシコミショ</t>
    </rPh>
    <phoneticPr fontId="3"/>
  </si>
  <si>
    <t xml:space="preserve"> 利用計画書</t>
    <rPh sb="1" eb="3">
      <t>リヨウ</t>
    </rPh>
    <rPh sb="3" eb="6">
      <t>ケイカクショ</t>
    </rPh>
    <phoneticPr fontId="3"/>
  </si>
  <si>
    <t>添付書類</t>
    <rPh sb="0" eb="2">
      <t>テンプ</t>
    </rPh>
    <rPh sb="2" eb="4">
      <t>ショルイ</t>
    </rPh>
    <phoneticPr fontId="3"/>
  </si>
  <si>
    <t>希望しない</t>
    <rPh sb="0" eb="2">
      <t>キボウ</t>
    </rPh>
    <phoneticPr fontId="3"/>
  </si>
  <si>
    <t>室</t>
    <rPh sb="0" eb="1">
      <t>シツ</t>
    </rPh>
    <phoneticPr fontId="3"/>
  </si>
  <si>
    <t>引率者控室</t>
    <rPh sb="0" eb="3">
      <t>インソツシャ</t>
    </rPh>
    <rPh sb="3" eb="5">
      <t>ヒカエシツ</t>
    </rPh>
    <phoneticPr fontId="3"/>
  </si>
  <si>
    <t>希望する</t>
    <rPh sb="0" eb="2">
      <t>キボウ</t>
    </rPh>
    <phoneticPr fontId="3"/>
  </si>
  <si>
    <t>バリアフリー宿泊室</t>
    <rPh sb="6" eb="9">
      <t>シュクハクシツ</t>
    </rPh>
    <phoneticPr fontId="3"/>
  </si>
  <si>
    <t>宿　 泊　 室</t>
    <rPh sb="0" eb="1">
      <t>シュク</t>
    </rPh>
    <rPh sb="3" eb="4">
      <t>ハク</t>
    </rPh>
    <rPh sb="6" eb="7">
      <t>シツ</t>
    </rPh>
    <phoneticPr fontId="3"/>
  </si>
  <si>
    <t>人</t>
    <rPh sb="0" eb="1">
      <t>ニン</t>
    </rPh>
    <phoneticPr fontId="3"/>
  </si>
  <si>
    <t>人数</t>
    <rPh sb="0" eb="2">
      <t>ニンズウ</t>
    </rPh>
    <phoneticPr fontId="3"/>
  </si>
  <si>
    <t>時</t>
    <rPh sb="0" eb="1">
      <t>ジ</t>
    </rPh>
    <phoneticPr fontId="3"/>
  </si>
  <si>
    <t>～</t>
    <phoneticPr fontId="3"/>
  </si>
  <si>
    <t>基準を超える使用を希望</t>
    <rPh sb="0" eb="2">
      <t>キジュン</t>
    </rPh>
    <rPh sb="3" eb="4">
      <t>コ</t>
    </rPh>
    <rPh sb="6" eb="8">
      <t>シヨウ</t>
    </rPh>
    <rPh sb="9" eb="11">
      <t>キボウ</t>
    </rPh>
    <phoneticPr fontId="3"/>
  </si>
  <si>
    <t>）</t>
    <phoneticPr fontId="3"/>
  </si>
  <si>
    <t>（</t>
    <phoneticPr fontId="3"/>
  </si>
  <si>
    <t>10</t>
    <phoneticPr fontId="3"/>
  </si>
  <si>
    <t>退館</t>
    <rPh sb="0" eb="2">
      <t>タイカン</t>
    </rPh>
    <phoneticPr fontId="3"/>
  </si>
  <si>
    <t>）</t>
    <phoneticPr fontId="3"/>
  </si>
  <si>
    <t>（</t>
    <phoneticPr fontId="3"/>
  </si>
  <si>
    <t>）</t>
    <phoneticPr fontId="3"/>
  </si>
  <si>
    <t>（</t>
    <phoneticPr fontId="3"/>
  </si>
  <si>
    <t>入館</t>
    <rPh sb="0" eb="2">
      <t>ニュウカン</t>
    </rPh>
    <phoneticPr fontId="3"/>
  </si>
  <si>
    <t>泊</t>
    <rPh sb="0" eb="1">
      <t>ハク</t>
    </rPh>
    <phoneticPr fontId="3"/>
  </si>
  <si>
    <t>日帰り</t>
    <rPh sb="0" eb="2">
      <t>ヒガエ</t>
    </rPh>
    <phoneticPr fontId="3"/>
  </si>
  <si>
    <t>宿泊</t>
    <rPh sb="0" eb="2">
      <t>シュクハク</t>
    </rPh>
    <phoneticPr fontId="3"/>
  </si>
  <si>
    <t>期間・形態</t>
    <rPh sb="0" eb="2">
      <t>キカン</t>
    </rPh>
    <rPh sb="3" eb="5">
      <t>ケイタイ</t>
    </rPh>
    <phoneticPr fontId="3"/>
  </si>
  <si>
    <t>yamanoie＠sapporo.jp</t>
    <phoneticPr fontId="3"/>
  </si>
  <si>
    <t>E-MAIL</t>
    <phoneticPr fontId="3"/>
  </si>
  <si>
    <t>E-MAIL</t>
    <phoneticPr fontId="3"/>
  </si>
  <si>
    <t>ＦＡＸ</t>
    <phoneticPr fontId="3"/>
  </si>
  <si>
    <t>）</t>
    <phoneticPr fontId="3"/>
  </si>
  <si>
    <t>TEL</t>
    <phoneticPr fontId="3"/>
  </si>
  <si>
    <t>）</t>
    <phoneticPr fontId="3"/>
  </si>
  <si>
    <t>TEL</t>
    <phoneticPr fontId="3"/>
  </si>
  <si>
    <t>札幌市南区滝野247番地</t>
    <rPh sb="0" eb="3">
      <t>サッポロシ</t>
    </rPh>
    <rPh sb="3" eb="5">
      <t>ミナミク</t>
    </rPh>
    <rPh sb="5" eb="7">
      <t>タキノ</t>
    </rPh>
    <rPh sb="10" eb="12">
      <t>バンチ</t>
    </rPh>
    <phoneticPr fontId="3"/>
  </si>
  <si>
    <t>〒</t>
    <phoneticPr fontId="3"/>
  </si>
  <si>
    <t>住所</t>
    <rPh sb="0" eb="2">
      <t>ジュウショ</t>
    </rPh>
    <phoneticPr fontId="3"/>
  </si>
  <si>
    <t>山の家　太郎</t>
  </si>
  <si>
    <t>氏名</t>
    <rPh sb="0" eb="2">
      <t>シメイ</t>
    </rPh>
    <phoneticPr fontId="3"/>
  </si>
  <si>
    <t>山の家　花子</t>
    <rPh sb="4" eb="6">
      <t>ハナコ</t>
    </rPh>
    <phoneticPr fontId="3"/>
  </si>
  <si>
    <t>やまのいえ　たろう</t>
    <phoneticPr fontId="3"/>
  </si>
  <si>
    <t>ふりがな</t>
    <phoneticPr fontId="3"/>
  </si>
  <si>
    <t>引率責任者
団体代表者</t>
    <rPh sb="0" eb="2">
      <t>インソツ</t>
    </rPh>
    <rPh sb="2" eb="5">
      <t>セキニンシャ</t>
    </rPh>
    <rPh sb="6" eb="8">
      <t>ダンタイ</t>
    </rPh>
    <rPh sb="8" eb="11">
      <t>ダイヒョウシャ</t>
    </rPh>
    <phoneticPr fontId="3"/>
  </si>
  <si>
    <t>やまのいえ　はなこ</t>
    <phoneticPr fontId="3"/>
  </si>
  <si>
    <t>企画担当者</t>
    <rPh sb="0" eb="2">
      <t>キカク</t>
    </rPh>
    <rPh sb="2" eb="5">
      <t>タントウシャ</t>
    </rPh>
    <phoneticPr fontId="3"/>
  </si>
  <si>
    <t>ふりがな</t>
    <phoneticPr fontId="3"/>
  </si>
  <si>
    <t>団体名</t>
    <rPh sb="0" eb="3">
      <t>ダンタイメイ</t>
    </rPh>
    <phoneticPr fontId="3"/>
  </si>
  <si>
    <t>団体</t>
    <rPh sb="0" eb="1">
      <t>ダン</t>
    </rPh>
    <rPh sb="1" eb="2">
      <t>カラダ</t>
    </rPh>
    <phoneticPr fontId="3"/>
  </si>
  <si>
    <t>札幌市青少年山の家　【 使用承認申請書 】</t>
    <rPh sb="12" eb="19">
      <t>シヨウショウニンシンセイショ</t>
    </rPh>
    <phoneticPr fontId="3"/>
  </si>
  <si>
    <t>備　考</t>
    <rPh sb="0" eb="1">
      <t>トモ</t>
    </rPh>
    <rPh sb="2" eb="3">
      <t>コウ</t>
    </rPh>
    <phoneticPr fontId="3"/>
  </si>
  <si>
    <t>就寝</t>
    <rPh sb="0" eb="2">
      <t>シュウシン</t>
    </rPh>
    <phoneticPr fontId="3"/>
  </si>
  <si>
    <t>荒天</t>
    <rPh sb="0" eb="2">
      <t>コウテン</t>
    </rPh>
    <phoneticPr fontId="3"/>
  </si>
  <si>
    <t>晴天</t>
    <rPh sb="0" eb="2">
      <t>セイテン</t>
    </rPh>
    <phoneticPr fontId="3"/>
  </si>
  <si>
    <t>　宿泊及び日帰りの使用許可時間は、札幌市青少年山
  の家条例により、次のように定められています。
 　　宿　泊 ： 午前10時から午前10時　　
 　　　　　　　又は　午後1時から午後1時
 　　日帰り ： 午前9時から午後5時
  なお、許可時間を超えての使用は、当該時間を含む
　日の日帰り申請が必要となることがあります。この
　場合、日帰り使用に伴う料金が別途発生します。</t>
    <rPh sb="9" eb="11">
      <t>シヨウ</t>
    </rPh>
    <rPh sb="17" eb="20">
      <t>サッポロシ</t>
    </rPh>
    <rPh sb="20" eb="23">
      <t>セイショウネン</t>
    </rPh>
    <rPh sb="23" eb="24">
      <t>ヤマ</t>
    </rPh>
    <rPh sb="28" eb="29">
      <t>イエ</t>
    </rPh>
    <rPh sb="29" eb="31">
      <t>ジョウレイ</t>
    </rPh>
    <rPh sb="35" eb="36">
      <t>ツギ</t>
    </rPh>
    <rPh sb="40" eb="41">
      <t>サダ</t>
    </rPh>
    <rPh sb="60" eb="62">
      <t>ゴゼン</t>
    </rPh>
    <rPh sb="64" eb="65">
      <t>ジ</t>
    </rPh>
    <rPh sb="67" eb="69">
      <t>ゴゼン</t>
    </rPh>
    <rPh sb="71" eb="72">
      <t>ジ</t>
    </rPh>
    <rPh sb="83" eb="84">
      <t>マタ</t>
    </rPh>
    <rPh sb="86" eb="88">
      <t>ゴゴ</t>
    </rPh>
    <rPh sb="89" eb="90">
      <t>ジ</t>
    </rPh>
    <rPh sb="92" eb="94">
      <t>ゴゴ</t>
    </rPh>
    <rPh sb="95" eb="96">
      <t>ジ</t>
    </rPh>
    <rPh sb="100" eb="102">
      <t>ヒガエ</t>
    </rPh>
    <rPh sb="106" eb="108">
      <t>ゴゼン</t>
    </rPh>
    <rPh sb="109" eb="110">
      <t>ジ</t>
    </rPh>
    <rPh sb="112" eb="114">
      <t>ゴゴ</t>
    </rPh>
    <rPh sb="115" eb="116">
      <t>ジ</t>
    </rPh>
    <rPh sb="123" eb="125">
      <t>キョカ</t>
    </rPh>
    <rPh sb="125" eb="127">
      <t>ジカン</t>
    </rPh>
    <rPh sb="128" eb="129">
      <t>コ</t>
    </rPh>
    <rPh sb="132" eb="134">
      <t>シヨウ</t>
    </rPh>
    <rPh sb="136" eb="138">
      <t>トウガイ</t>
    </rPh>
    <rPh sb="138" eb="140">
      <t>ジカン</t>
    </rPh>
    <rPh sb="141" eb="142">
      <t>フク</t>
    </rPh>
    <rPh sb="145" eb="146">
      <t>ヒ</t>
    </rPh>
    <rPh sb="147" eb="149">
      <t>ヒガエ</t>
    </rPh>
    <rPh sb="150" eb="152">
      <t>シンセイ</t>
    </rPh>
    <rPh sb="153" eb="155">
      <t>ヒツヨウ</t>
    </rPh>
    <rPh sb="173" eb="175">
      <t>ヒガエ</t>
    </rPh>
    <rPh sb="176" eb="178">
      <t>シヨウ</t>
    </rPh>
    <rPh sb="179" eb="180">
      <t>トモナ</t>
    </rPh>
    <rPh sb="181" eb="183">
      <t>リョウキン</t>
    </rPh>
    <rPh sb="184" eb="186">
      <t>ベット</t>
    </rPh>
    <rPh sb="186" eb="188">
      <t>ハッセイ</t>
    </rPh>
    <phoneticPr fontId="3"/>
  </si>
  <si>
    <t>天候</t>
    <rPh sb="0" eb="2">
      <t>テンコウ</t>
    </rPh>
    <phoneticPr fontId="3"/>
  </si>
  <si>
    <t>日付</t>
    <rPh sb="0" eb="2">
      <t>ヒヅケ</t>
    </rPh>
    <phoneticPr fontId="3"/>
  </si>
  <si>
    <t>（</t>
    <phoneticPr fontId="3"/>
  </si>
  <si>
    <t>利用日：</t>
    <rPh sb="0" eb="3">
      <t>リヨウビ</t>
    </rPh>
    <phoneticPr fontId="3"/>
  </si>
  <si>
    <t>団体名：</t>
    <rPh sb="0" eb="3">
      <t>ダンタイメイ</t>
    </rPh>
    <phoneticPr fontId="3"/>
  </si>
  <si>
    <t>№</t>
    <phoneticPr fontId="3"/>
  </si>
  <si>
    <t>※複数団体の利用調整により、計画どおりにならない場合があります。</t>
    <phoneticPr fontId="3"/>
  </si>
  <si>
    <t>※補足や要望等は、備考欄に記入してください。</t>
    <phoneticPr fontId="3"/>
  </si>
  <si>
    <t>※当公園及び当施設利用上のきまりに沿って、利用計画（いつ・どこで・なにを）を立ててください（晴天・荒天共に）。</t>
    <phoneticPr fontId="3"/>
  </si>
  <si>
    <t>～</t>
    <phoneticPr fontId="3"/>
  </si>
  <si>
    <t>（</t>
    <phoneticPr fontId="3"/>
  </si>
  <si>
    <t>札幌市青少年山の家　【 食事申込書 】</t>
    <rPh sb="0" eb="3">
      <t>サッポロシ</t>
    </rPh>
    <rPh sb="3" eb="6">
      <t>セイショウネン</t>
    </rPh>
    <rPh sb="6" eb="7">
      <t>ヤマ</t>
    </rPh>
    <rPh sb="8" eb="9">
      <t>イエ</t>
    </rPh>
    <rPh sb="12" eb="14">
      <t>ショクジ</t>
    </rPh>
    <rPh sb="14" eb="17">
      <t>モウシコミショ</t>
    </rPh>
    <phoneticPr fontId="3"/>
  </si>
  <si>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3"/>
  </si>
  <si>
    <t>分</t>
    <rPh sb="0" eb="1">
      <t>フン</t>
    </rPh>
    <phoneticPr fontId="3"/>
  </si>
  <si>
    <t>相談</t>
    <rPh sb="0" eb="2">
      <t>ソウダン</t>
    </rPh>
    <phoneticPr fontId="3"/>
  </si>
  <si>
    <t>～</t>
    <phoneticPr fontId="3"/>
  </si>
  <si>
    <t>日</t>
    <rPh sb="0" eb="1">
      <t>ニチ</t>
    </rPh>
    <phoneticPr fontId="3"/>
  </si>
  <si>
    <t>食物アレルギー確認書は</t>
    <rPh sb="0" eb="2">
      <t>ショクモツ</t>
    </rPh>
    <rPh sb="7" eb="10">
      <t>カクニンショ</t>
    </rPh>
    <phoneticPr fontId="3"/>
  </si>
  <si>
    <t>▼携帯食▼</t>
    <rPh sb="1" eb="4">
      <t>ケイタイショク</t>
    </rPh>
    <phoneticPr fontId="3"/>
  </si>
  <si>
    <t>▼炊事食▼</t>
    <rPh sb="1" eb="3">
      <t>スイジ</t>
    </rPh>
    <rPh sb="3" eb="4">
      <t>ショク</t>
    </rPh>
    <phoneticPr fontId="3"/>
  </si>
  <si>
    <t>　ゴマ塩おにぎり</t>
    <rPh sb="3" eb="4">
      <t>シオ</t>
    </rPh>
    <phoneticPr fontId="3"/>
  </si>
  <si>
    <t>　牛丼</t>
    <rPh sb="1" eb="3">
      <t>ギュウドン</t>
    </rPh>
    <phoneticPr fontId="3"/>
  </si>
  <si>
    <t>　豚汁</t>
    <rPh sb="1" eb="2">
      <t>ブタ</t>
    </rPh>
    <rPh sb="2" eb="3">
      <t>ジル</t>
    </rPh>
    <phoneticPr fontId="3"/>
  </si>
  <si>
    <t>　焼きそば</t>
    <rPh sb="1" eb="2">
      <t>ヤ</t>
    </rPh>
    <phoneticPr fontId="3"/>
  </si>
  <si>
    <t>　炊き出し</t>
    <rPh sb="1" eb="2">
      <t>タ</t>
    </rPh>
    <rPh sb="3" eb="4">
      <t>ダ</t>
    </rPh>
    <phoneticPr fontId="3"/>
  </si>
  <si>
    <t>期　日</t>
    <rPh sb="0" eb="1">
      <t>キ</t>
    </rPh>
    <rPh sb="2" eb="3">
      <t>ニチ</t>
    </rPh>
    <phoneticPr fontId="3"/>
  </si>
  <si>
    <t>時　機</t>
    <rPh sb="0" eb="1">
      <t>トキ</t>
    </rPh>
    <rPh sb="2" eb="3">
      <t>キ</t>
    </rPh>
    <phoneticPr fontId="3"/>
  </si>
  <si>
    <t>数　量</t>
    <rPh sb="0" eb="1">
      <t>スウ</t>
    </rPh>
    <rPh sb="2" eb="3">
      <t>リョウ</t>
    </rPh>
    <phoneticPr fontId="3"/>
  </si>
  <si>
    <t>変更</t>
    <rPh sb="0" eb="1">
      <t>ヘン</t>
    </rPh>
    <rPh sb="1" eb="2">
      <t>サラ</t>
    </rPh>
    <phoneticPr fontId="3"/>
  </si>
  <si>
    <t>備考</t>
    <rPh sb="0" eb="2">
      <t>ビコウ</t>
    </rPh>
    <phoneticPr fontId="3"/>
  </si>
  <si>
    <t>昼</t>
    <rPh sb="0" eb="1">
      <t>ヒル</t>
    </rPh>
    <phoneticPr fontId="3"/>
  </si>
  <si>
    <t>夕</t>
    <rPh sb="0" eb="1">
      <t>ユウ</t>
    </rPh>
    <phoneticPr fontId="3"/>
  </si>
  <si>
    <t>朝</t>
    <rPh sb="0" eb="1">
      <t>アサ</t>
    </rPh>
    <phoneticPr fontId="3"/>
  </si>
  <si>
    <t>小学生</t>
    <rPh sb="0" eb="3">
      <t>ショウガクセイ</t>
    </rPh>
    <phoneticPr fontId="3"/>
  </si>
  <si>
    <t>中学生
以上</t>
    <rPh sb="0" eb="3">
      <t>チュウガクセイ</t>
    </rPh>
    <rPh sb="4" eb="6">
      <t>イジョウ</t>
    </rPh>
    <phoneticPr fontId="3"/>
  </si>
  <si>
    <t>計</t>
    <rPh sb="0" eb="1">
      <t>ケイ</t>
    </rPh>
    <phoneticPr fontId="3"/>
  </si>
  <si>
    <t>　鶏の唐揚げ</t>
    <rPh sb="1" eb="2">
      <t>トリ</t>
    </rPh>
    <rPh sb="3" eb="5">
      <t>カラア</t>
    </rPh>
    <phoneticPr fontId="3"/>
  </si>
  <si>
    <t>▼飲料▼</t>
    <rPh sb="1" eb="3">
      <t>インリョウ</t>
    </rPh>
    <phoneticPr fontId="3"/>
  </si>
  <si>
    <t>合計</t>
    <rPh sb="0" eb="2">
      <t>ゴウケイ</t>
    </rPh>
    <phoneticPr fontId="3"/>
  </si>
  <si>
    <t>×</t>
    <phoneticPr fontId="3"/>
  </si>
  <si>
    <t>札幌市青少年山の家　【 食物アレルギー確認書 】</t>
    <rPh sb="12" eb="14">
      <t>ショクモツ</t>
    </rPh>
    <rPh sb="19" eb="22">
      <t>カクニンショ</t>
    </rPh>
    <phoneticPr fontId="3"/>
  </si>
  <si>
    <t>№</t>
    <phoneticPr fontId="3"/>
  </si>
  <si>
    <t>／</t>
    <phoneticPr fontId="3"/>
  </si>
  <si>
    <t>№</t>
    <phoneticPr fontId="3"/>
  </si>
  <si>
    <t>対応できる
アレルゲン</t>
    <rPh sb="0" eb="2">
      <t>タイオウ</t>
    </rPh>
    <phoneticPr fontId="3"/>
  </si>
  <si>
    <t>卵（鳥）</t>
    <rPh sb="0" eb="1">
      <t>タマゴ</t>
    </rPh>
    <rPh sb="2" eb="3">
      <t>トリ</t>
    </rPh>
    <phoneticPr fontId="3"/>
  </si>
  <si>
    <t>小麦</t>
    <rPh sb="0" eb="2">
      <t>コムギ</t>
    </rPh>
    <phoneticPr fontId="3"/>
  </si>
  <si>
    <t>えび</t>
  </si>
  <si>
    <t>乳（牛）</t>
    <rPh sb="0" eb="1">
      <t>ニュウ</t>
    </rPh>
    <rPh sb="2" eb="3">
      <t>ウシ</t>
    </rPh>
    <phoneticPr fontId="3"/>
  </si>
  <si>
    <t>そば</t>
  </si>
  <si>
    <t>落花生</t>
    <rPh sb="0" eb="3">
      <t>ラッカセイ</t>
    </rPh>
    <phoneticPr fontId="3"/>
  </si>
  <si>
    <t>かに</t>
  </si>
  <si>
    <t>食堂確認</t>
    <rPh sb="0" eb="2">
      <t>ショクドウ</t>
    </rPh>
    <rPh sb="2" eb="4">
      <t>カクニン</t>
    </rPh>
    <phoneticPr fontId="3"/>
  </si>
  <si>
    <t>対応方法</t>
    <rPh sb="0" eb="2">
      <t>タイオウ</t>
    </rPh>
    <rPh sb="2" eb="4">
      <t>ホウホウ</t>
    </rPh>
    <phoneticPr fontId="3"/>
  </si>
  <si>
    <t>生提供なし</t>
    <rPh sb="0" eb="1">
      <t>ナマ</t>
    </rPh>
    <rPh sb="1" eb="3">
      <t>テイキョウ</t>
    </rPh>
    <phoneticPr fontId="3"/>
  </si>
  <si>
    <t>生提供あり</t>
    <rPh sb="0" eb="1">
      <t>ナマ</t>
    </rPh>
    <rPh sb="1" eb="3">
      <t>テイキョウ</t>
    </rPh>
    <phoneticPr fontId="3"/>
  </si>
  <si>
    <t xml:space="preserve"> 提供はあり ません。</t>
    <phoneticPr fontId="3"/>
  </si>
  <si>
    <t>アレルギー
対応の対象者</t>
    <rPh sb="6" eb="8">
      <t>タイオウ</t>
    </rPh>
    <rPh sb="9" eb="12">
      <t>タイショウシャ</t>
    </rPh>
    <phoneticPr fontId="3"/>
  </si>
  <si>
    <t>　この4種類の加熱、成分に支障のある方が、
　アレルギー対応の対象者です。
　なお、乳の生に支障がある方は、牛乳を飲ま
　ないでください。</t>
    <phoneticPr fontId="3"/>
  </si>
  <si>
    <t>※調理器具及び食器類は、食物アレルギーによって使い分けをしていません。</t>
    <rPh sb="1" eb="3">
      <t>チョウリ</t>
    </rPh>
    <rPh sb="3" eb="5">
      <t>キグ</t>
    </rPh>
    <rPh sb="5" eb="6">
      <t>オヨ</t>
    </rPh>
    <rPh sb="7" eb="10">
      <t>ショッキルイ</t>
    </rPh>
    <rPh sb="12" eb="14">
      <t>ショクモツ</t>
    </rPh>
    <rPh sb="23" eb="24">
      <t>ツカ</t>
    </rPh>
    <rPh sb="25" eb="26">
      <t>ワ</t>
    </rPh>
    <phoneticPr fontId="3"/>
  </si>
  <si>
    <t>～</t>
    <phoneticPr fontId="3"/>
  </si>
  <si>
    <t>対象者</t>
    <rPh sb="0" eb="3">
      <t>タイショウシャ</t>
    </rPh>
    <phoneticPr fontId="3"/>
  </si>
  <si>
    <t>日(</t>
    <rPh sb="0" eb="1">
      <t>ニチ</t>
    </rPh>
    <phoneticPr fontId="3"/>
  </si>
  <si>
    <t>ジンギスカン</t>
    <phoneticPr fontId="3"/>
  </si>
  <si>
    <t>通常食</t>
    <rPh sb="0" eb="3">
      <t>ツウジョウショク</t>
    </rPh>
    <phoneticPr fontId="3"/>
  </si>
  <si>
    <t>対応内容</t>
    <rPh sb="0" eb="2">
      <t>タイオウ</t>
    </rPh>
    <rPh sb="2" eb="4">
      <t>ナイヨウ</t>
    </rPh>
    <phoneticPr fontId="3"/>
  </si>
  <si>
    <t>北海　道代</t>
    <rPh sb="0" eb="2">
      <t>ホッカイ</t>
    </rPh>
    <rPh sb="3" eb="5">
      <t>ミチヨ</t>
    </rPh>
    <phoneticPr fontId="3"/>
  </si>
  <si>
    <t>えび</t>
    <phoneticPr fontId="3"/>
  </si>
  <si>
    <t>えび</t>
    <phoneticPr fontId="3"/>
  </si>
  <si>
    <t>札幌　市夫</t>
    <rPh sb="0" eb="2">
      <t>サッポロ</t>
    </rPh>
    <rPh sb="3" eb="4">
      <t>イチ</t>
    </rPh>
    <rPh sb="4" eb="5">
      <t>オ</t>
    </rPh>
    <phoneticPr fontId="3"/>
  </si>
  <si>
    <t>南　滝蔵</t>
    <rPh sb="0" eb="1">
      <t>ミナミ</t>
    </rPh>
    <rPh sb="2" eb="3">
      <t>タキ</t>
    </rPh>
    <rPh sb="3" eb="4">
      <t>ゾウ</t>
    </rPh>
    <phoneticPr fontId="3"/>
  </si>
  <si>
    <t>鈴蘭　公子</t>
    <rPh sb="0" eb="2">
      <t>スズラン</t>
    </rPh>
    <rPh sb="3" eb="5">
      <t>コウコ</t>
    </rPh>
    <phoneticPr fontId="3"/>
  </si>
  <si>
    <t>不明点が多いので、相談させてください。</t>
    <phoneticPr fontId="3"/>
  </si>
  <si>
    <t>※上記の対応内容で良ければ、最終確認者署名の上で返送してください。</t>
    <rPh sb="1" eb="3">
      <t>ジョウキ</t>
    </rPh>
    <rPh sb="4" eb="6">
      <t>タイオウ</t>
    </rPh>
    <rPh sb="6" eb="8">
      <t>ナイヨウ</t>
    </rPh>
    <rPh sb="9" eb="10">
      <t>ヨ</t>
    </rPh>
    <rPh sb="14" eb="16">
      <t>サイシュウ</t>
    </rPh>
    <rPh sb="16" eb="18">
      <t>カクニン</t>
    </rPh>
    <rPh sb="18" eb="19">
      <t>シャ</t>
    </rPh>
    <rPh sb="19" eb="21">
      <t>ショメイ</t>
    </rPh>
    <rPh sb="22" eb="23">
      <t>ウエ</t>
    </rPh>
    <rPh sb="24" eb="26">
      <t>ヘンソウ</t>
    </rPh>
    <phoneticPr fontId="3"/>
  </si>
  <si>
    <t>最終確認署名</t>
    <rPh sb="0" eb="2">
      <t>サイシュウ</t>
    </rPh>
    <rPh sb="2" eb="4">
      <t>カクニン</t>
    </rPh>
    <rPh sb="4" eb="6">
      <t>ショメイ</t>
    </rPh>
    <phoneticPr fontId="3"/>
  </si>
  <si>
    <t>相談担当：</t>
    <rPh sb="0" eb="2">
      <t>ソウダン</t>
    </rPh>
    <rPh sb="2" eb="4">
      <t>タントウ</t>
    </rPh>
    <phoneticPr fontId="3"/>
  </si>
  <si>
    <t>／</t>
    <phoneticPr fontId="3"/>
  </si>
  <si>
    <t>山の家花子</t>
    <rPh sb="0" eb="1">
      <t>ヤマ</t>
    </rPh>
    <rPh sb="2" eb="3">
      <t>イエ</t>
    </rPh>
    <rPh sb="3" eb="5">
      <t>ハナコ</t>
    </rPh>
    <phoneticPr fontId="3"/>
  </si>
  <si>
    <t>記</t>
    <rPh sb="0" eb="1">
      <t>キ</t>
    </rPh>
    <phoneticPr fontId="3"/>
  </si>
  <si>
    <t>日</t>
    <rPh sb="0" eb="1">
      <t>ヒ</t>
    </rPh>
    <phoneticPr fontId="3"/>
  </si>
  <si>
    <t>団　体　名</t>
    <rPh sb="0" eb="1">
      <t>ダン</t>
    </rPh>
    <rPh sb="2" eb="3">
      <t>カラダ</t>
    </rPh>
    <rPh sb="4" eb="5">
      <t>メイ</t>
    </rPh>
    <phoneticPr fontId="3"/>
  </si>
  <si>
    <t>山の家　太郎</t>
    <rPh sb="0" eb="1">
      <t>ヤマ</t>
    </rPh>
    <rPh sb="2" eb="3">
      <t>イエ</t>
    </rPh>
    <rPh sb="4" eb="6">
      <t>タロウ</t>
    </rPh>
    <phoneticPr fontId="3"/>
  </si>
  <si>
    <t>札幌市青少年山の家　【 利用者名簿】</t>
    <phoneticPr fontId="3"/>
  </si>
  <si>
    <t>氏　名</t>
    <rPh sb="0" eb="1">
      <t>シ</t>
    </rPh>
    <rPh sb="2" eb="3">
      <t>メイ</t>
    </rPh>
    <phoneticPr fontId="3"/>
  </si>
  <si>
    <t>利用延
べ日数</t>
    <rPh sb="0" eb="2">
      <t>リヨウ</t>
    </rPh>
    <rPh sb="2" eb="3">
      <t>ノ</t>
    </rPh>
    <rPh sb="5" eb="7">
      <t>ニッスウ</t>
    </rPh>
    <phoneticPr fontId="3"/>
  </si>
  <si>
    <t>区分</t>
    <rPh sb="0" eb="2">
      <t>クブン</t>
    </rPh>
    <phoneticPr fontId="3"/>
  </si>
  <si>
    <t>＜　区分欄凡例　＞</t>
    <rPh sb="2" eb="5">
      <t>クブンラン</t>
    </rPh>
    <rPh sb="5" eb="7">
      <t>ハンレイ</t>
    </rPh>
    <phoneticPr fontId="3"/>
  </si>
  <si>
    <t>中学生</t>
    <rPh sb="0" eb="3">
      <t>チュウガクセイ</t>
    </rPh>
    <phoneticPr fontId="3"/>
  </si>
  <si>
    <t>印刷範囲の指定</t>
    <rPh sb="0" eb="2">
      <t>インサツ</t>
    </rPh>
    <rPh sb="2" eb="4">
      <t>ハンイ</t>
    </rPh>
    <rPh sb="5" eb="7">
      <t>シテイ</t>
    </rPh>
    <phoneticPr fontId="3"/>
  </si>
  <si>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3"/>
  </si>
  <si>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3"/>
  </si>
  <si>
    <t>プルダウンリスト</t>
    <phoneticPr fontId="3"/>
  </si>
  <si>
    <t>入園料</t>
    <rPh sb="0" eb="3">
      <t>ニュウエンリョウ</t>
    </rPh>
    <phoneticPr fontId="3"/>
  </si>
  <si>
    <t>食事代</t>
    <rPh sb="0" eb="3">
      <t>ショクジダイ</t>
    </rPh>
    <phoneticPr fontId="3"/>
  </si>
  <si>
    <t>クラフト</t>
    <phoneticPr fontId="3"/>
  </si>
  <si>
    <t>項目</t>
    <rPh sb="0" eb="2">
      <t>コウモク</t>
    </rPh>
    <phoneticPr fontId="3"/>
  </si>
  <si>
    <t>単価</t>
    <rPh sb="0" eb="2">
      <t>タンカ</t>
    </rPh>
    <phoneticPr fontId="23"/>
  </si>
  <si>
    <t>人・薪
・炭等
総数</t>
    <rPh sb="0" eb="1">
      <t>ヒト</t>
    </rPh>
    <rPh sb="2" eb="3">
      <t>マキ</t>
    </rPh>
    <rPh sb="5" eb="6">
      <t>スミ</t>
    </rPh>
    <rPh sb="6" eb="7">
      <t>トウ</t>
    </rPh>
    <rPh sb="8" eb="10">
      <t>ソウスウ</t>
    </rPh>
    <phoneticPr fontId="23"/>
  </si>
  <si>
    <t xml:space="preserve">小計 </t>
    <rPh sb="0" eb="2">
      <t>ショウケイ</t>
    </rPh>
    <phoneticPr fontId="23"/>
  </si>
  <si>
    <t>小人</t>
    <rPh sb="0" eb="2">
      <t>コビト</t>
    </rPh>
    <phoneticPr fontId="3"/>
  </si>
  <si>
    <t>利用日</t>
    <rPh sb="0" eb="2">
      <t>リヨウ</t>
    </rPh>
    <rPh sb="2" eb="3">
      <t>ビ</t>
    </rPh>
    <phoneticPr fontId="3"/>
  </si>
  <si>
    <t>～</t>
    <phoneticPr fontId="3"/>
  </si>
  <si>
    <t>食事代内訳</t>
    <rPh sb="0" eb="3">
      <t>ショクジダイ</t>
    </rPh>
    <rPh sb="3" eb="5">
      <t>ウチワケ</t>
    </rPh>
    <phoneticPr fontId="3"/>
  </si>
  <si>
    <t>期日</t>
    <rPh sb="0" eb="2">
      <t>キジツ</t>
    </rPh>
    <phoneticPr fontId="3"/>
  </si>
  <si>
    <t>時機</t>
    <rPh sb="0" eb="2">
      <t>ジキ</t>
    </rPh>
    <phoneticPr fontId="3"/>
  </si>
  <si>
    <t>メニュー</t>
    <phoneticPr fontId="3"/>
  </si>
  <si>
    <t>（円）</t>
    <rPh sb="1" eb="2">
      <t>エン</t>
    </rPh>
    <phoneticPr fontId="23"/>
  </si>
  <si>
    <t>人　　数</t>
    <phoneticPr fontId="23"/>
  </si>
  <si>
    <t>人　　数</t>
    <phoneticPr fontId="23"/>
  </si>
  <si>
    <t xml:space="preserve">（円） </t>
    <rPh sb="1" eb="2">
      <t>エン</t>
    </rPh>
    <phoneticPr fontId="23"/>
  </si>
  <si>
    <t>団体割</t>
    <rPh sb="0" eb="2">
      <t>ダンタイ</t>
    </rPh>
    <rPh sb="2" eb="3">
      <t>ワ</t>
    </rPh>
    <phoneticPr fontId="3"/>
  </si>
  <si>
    <t>▼食堂通常食▼</t>
    <rPh sb="1" eb="3">
      <t>ショクドウ</t>
    </rPh>
    <rPh sb="3" eb="5">
      <t>ツウジョウ</t>
    </rPh>
    <rPh sb="5" eb="6">
      <t>ショク</t>
    </rPh>
    <phoneticPr fontId="3"/>
  </si>
  <si>
    <t>風車</t>
    <rPh sb="0" eb="2">
      <t>カザグルマ</t>
    </rPh>
    <phoneticPr fontId="3"/>
  </si>
  <si>
    <t>一般</t>
    <rPh sb="0" eb="2">
      <t>イッパン</t>
    </rPh>
    <phoneticPr fontId="3"/>
  </si>
  <si>
    <t>　昼】通常食(幼児)</t>
    <rPh sb="1" eb="2">
      <t>ヒル</t>
    </rPh>
    <rPh sb="3" eb="5">
      <t>ツウジョウ</t>
    </rPh>
    <rPh sb="5" eb="6">
      <t>ショク</t>
    </rPh>
    <rPh sb="7" eb="9">
      <t>ヨウジ</t>
    </rPh>
    <phoneticPr fontId="3"/>
  </si>
  <si>
    <t>大人</t>
    <rPh sb="0" eb="2">
      <t>オトナ</t>
    </rPh>
    <phoneticPr fontId="3"/>
  </si>
  <si>
    <t>　昼】通常食(小学生)</t>
    <rPh sb="3" eb="5">
      <t>ツウジョウ</t>
    </rPh>
    <rPh sb="5" eb="6">
      <t>ショク</t>
    </rPh>
    <rPh sb="7" eb="10">
      <t>ショウガクセイ</t>
    </rPh>
    <phoneticPr fontId="3"/>
  </si>
  <si>
    <t>　昼】通常食(中学生以上)</t>
    <rPh sb="3" eb="5">
      <t>ツウジョウ</t>
    </rPh>
    <rPh sb="5" eb="6">
      <t>ショク</t>
    </rPh>
    <rPh sb="7" eb="10">
      <t>チュウガクセイ</t>
    </rPh>
    <rPh sb="10" eb="12">
      <t>イジョウ</t>
    </rPh>
    <phoneticPr fontId="3"/>
  </si>
  <si>
    <t>　夕】通常食(幼児)</t>
    <rPh sb="1" eb="2">
      <t>ユウ</t>
    </rPh>
    <rPh sb="3" eb="5">
      <t>ツウジョウ</t>
    </rPh>
    <rPh sb="5" eb="6">
      <t>ショク</t>
    </rPh>
    <rPh sb="7" eb="9">
      <t>ヨウジ</t>
    </rPh>
    <phoneticPr fontId="3"/>
  </si>
  <si>
    <t>　夕】通常食(小学生)</t>
    <rPh sb="3" eb="5">
      <t>ツウジョウ</t>
    </rPh>
    <rPh sb="5" eb="6">
      <t>ショク</t>
    </rPh>
    <rPh sb="7" eb="10">
      <t>ショウガクセイ</t>
    </rPh>
    <phoneticPr fontId="3"/>
  </si>
  <si>
    <t>ボランティア謝礼</t>
    <rPh sb="6" eb="8">
      <t>シャレイ</t>
    </rPh>
    <phoneticPr fontId="3"/>
  </si>
  <si>
    <t>　夕】通常食(中学生以上)</t>
    <rPh sb="3" eb="5">
      <t>ツウジョウ</t>
    </rPh>
    <rPh sb="5" eb="6">
      <t>ショク</t>
    </rPh>
    <rPh sb="7" eb="10">
      <t>チュウガクセイ</t>
    </rPh>
    <rPh sb="10" eb="12">
      <t>イジョウ</t>
    </rPh>
    <phoneticPr fontId="3"/>
  </si>
  <si>
    <t>木のマグネット</t>
    <rPh sb="0" eb="1">
      <t>キ</t>
    </rPh>
    <phoneticPr fontId="3"/>
  </si>
  <si>
    <t>施設使用料等</t>
    <rPh sb="0" eb="2">
      <t>シセツ</t>
    </rPh>
    <rPh sb="2" eb="4">
      <t>シヨウ</t>
    </rPh>
    <rPh sb="4" eb="5">
      <t>リョウ</t>
    </rPh>
    <rPh sb="5" eb="6">
      <t>ナド</t>
    </rPh>
    <phoneticPr fontId="3"/>
  </si>
  <si>
    <t>　朝】通常食(幼児)</t>
    <rPh sb="1" eb="2">
      <t>アサ</t>
    </rPh>
    <rPh sb="3" eb="5">
      <t>ツウジョウ</t>
    </rPh>
    <rPh sb="5" eb="6">
      <t>ショク</t>
    </rPh>
    <rPh sb="7" eb="9">
      <t>ヨウジ</t>
    </rPh>
    <phoneticPr fontId="3"/>
  </si>
  <si>
    <t>宛名・支払方法</t>
    <rPh sb="3" eb="5">
      <t>シハラ</t>
    </rPh>
    <rPh sb="5" eb="7">
      <t>ホウホウ</t>
    </rPh>
    <phoneticPr fontId="23"/>
  </si>
  <si>
    <t>領収・請求書１</t>
    <rPh sb="0" eb="2">
      <t>リョウシュウ</t>
    </rPh>
    <rPh sb="3" eb="6">
      <t>セイキュウショ</t>
    </rPh>
    <phoneticPr fontId="23"/>
  </si>
  <si>
    <t>　朝】通常食(小学生)</t>
    <rPh sb="3" eb="5">
      <t>ツウジョウ</t>
    </rPh>
    <rPh sb="5" eb="6">
      <t>ショク</t>
    </rPh>
    <rPh sb="7" eb="10">
      <t>ショウガクセイ</t>
    </rPh>
    <phoneticPr fontId="3"/>
  </si>
  <si>
    <t>マイ箸</t>
    <rPh sb="2" eb="3">
      <t>ハシ</t>
    </rPh>
    <phoneticPr fontId="3"/>
  </si>
  <si>
    <t>領収・請求書２</t>
    <rPh sb="0" eb="2">
      <t>リョウシュウ</t>
    </rPh>
    <rPh sb="3" eb="6">
      <t>セイキュウショ</t>
    </rPh>
    <phoneticPr fontId="23"/>
  </si>
  <si>
    <t>　朝】通常食(中学生以上)</t>
    <rPh sb="3" eb="5">
      <t>ツウジョウ</t>
    </rPh>
    <rPh sb="5" eb="6">
      <t>ショク</t>
    </rPh>
    <rPh sb="7" eb="10">
      <t>チュウガクセイ</t>
    </rPh>
    <rPh sb="10" eb="12">
      <t>イジョウ</t>
    </rPh>
    <phoneticPr fontId="3"/>
  </si>
  <si>
    <t>領収・請求書３</t>
    <rPh sb="0" eb="2">
      <t>リョウシュウ</t>
    </rPh>
    <rPh sb="3" eb="6">
      <t>セイキュウショ</t>
    </rPh>
    <phoneticPr fontId="23"/>
  </si>
  <si>
    <t>▼食堂キッズA▼</t>
    <rPh sb="1" eb="3">
      <t>ショクドウ</t>
    </rPh>
    <phoneticPr fontId="3"/>
  </si>
  <si>
    <t>陶芸体験（素焼き）</t>
    <rPh sb="0" eb="2">
      <t>トウゲイ</t>
    </rPh>
    <rPh sb="2" eb="4">
      <t>タイケン</t>
    </rPh>
    <rPh sb="5" eb="7">
      <t>スヤ</t>
    </rPh>
    <phoneticPr fontId="3"/>
  </si>
  <si>
    <t>領収・請求書４</t>
    <rPh sb="0" eb="2">
      <t>リョウシュウ</t>
    </rPh>
    <rPh sb="3" eb="6">
      <t>セイキュウショ</t>
    </rPh>
    <phoneticPr fontId="23"/>
  </si>
  <si>
    <t>時期</t>
    <rPh sb="0" eb="2">
      <t>ジキ</t>
    </rPh>
    <phoneticPr fontId="3"/>
  </si>
  <si>
    <t>陶芸体験（本焼き）</t>
    <rPh sb="0" eb="2">
      <t>トウゲイ</t>
    </rPh>
    <rPh sb="2" eb="4">
      <t>タイケン</t>
    </rPh>
    <rPh sb="5" eb="6">
      <t>ホン</t>
    </rPh>
    <rPh sb="6" eb="7">
      <t>ヤ</t>
    </rPh>
    <phoneticPr fontId="3"/>
  </si>
  <si>
    <t>領収・請求書５</t>
    <rPh sb="0" eb="2">
      <t>リョウシュウ</t>
    </rPh>
    <rPh sb="3" eb="6">
      <t>セイキュウショ</t>
    </rPh>
    <phoneticPr fontId="23"/>
  </si>
  <si>
    <t>項　　　目</t>
    <rPh sb="0" eb="5">
      <t>コウモク</t>
    </rPh>
    <phoneticPr fontId="23"/>
  </si>
  <si>
    <t>領   収
請求書４</t>
    <rPh sb="0" eb="1">
      <t>リョウ</t>
    </rPh>
    <rPh sb="4" eb="5">
      <t>オサム</t>
    </rPh>
    <rPh sb="6" eb="9">
      <t>セイキュウショ</t>
    </rPh>
    <phoneticPr fontId="23"/>
  </si>
  <si>
    <t>人　　数</t>
    <phoneticPr fontId="23"/>
  </si>
  <si>
    <t>人　　数</t>
    <phoneticPr fontId="23"/>
  </si>
  <si>
    <t>人　　数</t>
    <phoneticPr fontId="23"/>
  </si>
  <si>
    <t>人　　数</t>
    <phoneticPr fontId="23"/>
  </si>
  <si>
    <t>入園料</t>
    <rPh sb="0" eb="3">
      <t>ニュウエンリョウ</t>
    </rPh>
    <phoneticPr fontId="23"/>
  </si>
  <si>
    <t>その他内訳</t>
    <rPh sb="2" eb="3">
      <t>タ</t>
    </rPh>
    <rPh sb="3" eb="5">
      <t>ウチワケ</t>
    </rPh>
    <phoneticPr fontId="3"/>
  </si>
  <si>
    <t>シーツ・枕カバー洗濯</t>
    <rPh sb="4" eb="5">
      <t>マクラ</t>
    </rPh>
    <rPh sb="8" eb="10">
      <t>センタク</t>
    </rPh>
    <phoneticPr fontId="23"/>
  </si>
  <si>
    <t>▼食堂キッズB▼</t>
    <rPh sb="1" eb="3">
      <t>ショクドウ</t>
    </rPh>
    <phoneticPr fontId="3"/>
  </si>
  <si>
    <t>　昼】キッズB(幼児)</t>
    <rPh sb="1" eb="2">
      <t>ヒル</t>
    </rPh>
    <rPh sb="8" eb="10">
      <t>ヨウジ</t>
    </rPh>
    <phoneticPr fontId="3"/>
  </si>
  <si>
    <t>　昼】キッズB(小学生)</t>
    <rPh sb="1" eb="2">
      <t>ヒル</t>
    </rPh>
    <rPh sb="8" eb="11">
      <t>ショウガクセイ</t>
    </rPh>
    <phoneticPr fontId="3"/>
  </si>
  <si>
    <t>　昼】キッズB(中学生以上)</t>
    <rPh sb="1" eb="2">
      <t>ヒル</t>
    </rPh>
    <rPh sb="8" eb="11">
      <t>チュウガクセイ</t>
    </rPh>
    <rPh sb="11" eb="13">
      <t>イジョウ</t>
    </rPh>
    <phoneticPr fontId="3"/>
  </si>
  <si>
    <t>　夕】キッズB(幼児)</t>
    <rPh sb="1" eb="2">
      <t>ユウ</t>
    </rPh>
    <rPh sb="8" eb="10">
      <t>ヨウジ</t>
    </rPh>
    <phoneticPr fontId="3"/>
  </si>
  <si>
    <t>施設使用料内訳</t>
    <rPh sb="0" eb="2">
      <t>シセツ</t>
    </rPh>
    <rPh sb="2" eb="5">
      <t>シヨウリョウ</t>
    </rPh>
    <rPh sb="5" eb="7">
      <t>ウチワケ</t>
    </rPh>
    <phoneticPr fontId="23"/>
  </si>
  <si>
    <t>宿泊</t>
    <phoneticPr fontId="23"/>
  </si>
  <si>
    <t>炊事　炭</t>
    <rPh sb="0" eb="2">
      <t>スイジ</t>
    </rPh>
    <rPh sb="3" eb="4">
      <t>スミ</t>
    </rPh>
    <phoneticPr fontId="3"/>
  </si>
  <si>
    <t>　夕】キッズB(小学生)</t>
    <rPh sb="1" eb="2">
      <t>ユウ</t>
    </rPh>
    <rPh sb="8" eb="11">
      <t>ショウガクセイ</t>
    </rPh>
    <phoneticPr fontId="3"/>
  </si>
  <si>
    <t>※1袋料金の案分不可</t>
    <rPh sb="2" eb="3">
      <t>フクロ</t>
    </rPh>
    <rPh sb="3" eb="5">
      <t>リョウキン</t>
    </rPh>
    <rPh sb="6" eb="8">
      <t>アンブン</t>
    </rPh>
    <rPh sb="8" eb="10">
      <t>フカ</t>
    </rPh>
    <phoneticPr fontId="3"/>
  </si>
  <si>
    <t>　夕】キッズB(中学生以上)</t>
    <rPh sb="1" eb="2">
      <t>ユウ</t>
    </rPh>
    <rPh sb="8" eb="11">
      <t>チュウガクセイ</t>
    </rPh>
    <rPh sb="11" eb="13">
      <t>イジョウ</t>
    </rPh>
    <phoneticPr fontId="3"/>
  </si>
  <si>
    <t>小・中学生</t>
    <rPh sb="0" eb="1">
      <t>ショウ</t>
    </rPh>
    <rPh sb="2" eb="5">
      <t>チュウガクセイ</t>
    </rPh>
    <phoneticPr fontId="23"/>
  </si>
  <si>
    <t>キャンプファイヤーセット</t>
    <phoneticPr fontId="23"/>
  </si>
  <si>
    <t>　朝】キッズB(幼児)</t>
    <rPh sb="1" eb="2">
      <t>アサ</t>
    </rPh>
    <rPh sb="8" eb="10">
      <t>ヨウジ</t>
    </rPh>
    <phoneticPr fontId="3"/>
  </si>
  <si>
    <t>※1セット料金の案分不可</t>
    <rPh sb="5" eb="7">
      <t>リョウキン</t>
    </rPh>
    <rPh sb="8" eb="10">
      <t>アンブン</t>
    </rPh>
    <rPh sb="10" eb="12">
      <t>フカ</t>
    </rPh>
    <phoneticPr fontId="3"/>
  </si>
  <si>
    <t>　朝】キッズB(小学生)</t>
    <rPh sb="1" eb="2">
      <t>アサ</t>
    </rPh>
    <rPh sb="8" eb="11">
      <t>ショウガクセイ</t>
    </rPh>
    <phoneticPr fontId="3"/>
  </si>
  <si>
    <t>施設ボランティア</t>
    <rPh sb="0" eb="2">
      <t>シセツ</t>
    </rPh>
    <phoneticPr fontId="3"/>
  </si>
  <si>
    <t>　朝】キッズB(中学生以上)</t>
    <rPh sb="1" eb="2">
      <t>アサ</t>
    </rPh>
    <rPh sb="8" eb="11">
      <t>チュウガクセイ</t>
    </rPh>
    <rPh sb="11" eb="13">
      <t>イジョウ</t>
    </rPh>
    <phoneticPr fontId="3"/>
  </si>
  <si>
    <t>※1人料金の案分不可</t>
    <rPh sb="2" eb="3">
      <t>ニン</t>
    </rPh>
    <rPh sb="3" eb="5">
      <t>リョウキン</t>
    </rPh>
    <rPh sb="6" eb="8">
      <t>アンブン</t>
    </rPh>
    <rPh sb="8" eb="10">
      <t>フカ</t>
    </rPh>
    <phoneticPr fontId="3"/>
  </si>
  <si>
    <t>減免対象者（すべて）</t>
    <rPh sb="0" eb="2">
      <t>ゲンメンニンズウ</t>
    </rPh>
    <rPh sb="2" eb="5">
      <t>タイショウシャ</t>
    </rPh>
    <phoneticPr fontId="23"/>
  </si>
  <si>
    <t>その他（一般）の方</t>
    <rPh sb="2" eb="3">
      <t>タ</t>
    </rPh>
    <rPh sb="4" eb="6">
      <t>イッパン</t>
    </rPh>
    <rPh sb="8" eb="9">
      <t>カタ</t>
    </rPh>
    <phoneticPr fontId="23"/>
  </si>
  <si>
    <t>日帰り</t>
    <phoneticPr fontId="23"/>
  </si>
  <si>
    <t>　カレーライス</t>
    <phoneticPr fontId="3"/>
  </si>
  <si>
    <t>　ジンギスカン</t>
    <phoneticPr fontId="3"/>
  </si>
  <si>
    <t>　ホットドッグ</t>
    <phoneticPr fontId="3"/>
  </si>
  <si>
    <t>　プリン</t>
    <phoneticPr fontId="3"/>
  </si>
  <si>
    <t>　ミニエクレア</t>
    <phoneticPr fontId="3"/>
  </si>
  <si>
    <t>　フライドポテト</t>
    <phoneticPr fontId="3"/>
  </si>
  <si>
    <t>　アイスクリーム（バニラ味）</t>
    <rPh sb="12" eb="13">
      <t>アジ</t>
    </rPh>
    <phoneticPr fontId="3"/>
  </si>
  <si>
    <t>　チキンナゲット</t>
    <phoneticPr fontId="3"/>
  </si>
  <si>
    <t>　フランクフルト</t>
    <phoneticPr fontId="3"/>
  </si>
  <si>
    <t>～</t>
    <phoneticPr fontId="3"/>
  </si>
  <si>
    <t>使用料減免申請書</t>
    <rPh sb="0" eb="3">
      <t>シヨウリョウ</t>
    </rPh>
    <rPh sb="3" eb="5">
      <t>ゲンメン</t>
    </rPh>
    <rPh sb="5" eb="8">
      <t>シンセイショ</t>
    </rPh>
    <phoneticPr fontId="3"/>
  </si>
  <si>
    <t>　札幌市青少年山の家</t>
    <rPh sb="1" eb="8">
      <t>サッポロシセイショウネンヤマ</t>
    </rPh>
    <rPh sb="9" eb="10">
      <t>イエ</t>
    </rPh>
    <phoneticPr fontId="3"/>
  </si>
  <si>
    <t>　　指定管理者</t>
    <rPh sb="2" eb="4">
      <t>シテイ</t>
    </rPh>
    <rPh sb="4" eb="7">
      <t>カンリシャ</t>
    </rPh>
    <phoneticPr fontId="3"/>
  </si>
  <si>
    <t>　　（公財）さっぽろ青少年女性活動協会</t>
    <rPh sb="3" eb="4">
      <t>コウ</t>
    </rPh>
    <rPh sb="4" eb="5">
      <t>ザイ</t>
    </rPh>
    <rPh sb="10" eb="13">
      <t>セイショウネン</t>
    </rPh>
    <rPh sb="13" eb="15">
      <t>ジョセイ</t>
    </rPh>
    <rPh sb="15" eb="17">
      <t>カツドウ</t>
    </rPh>
    <rPh sb="17" eb="19">
      <t>キョウカイ</t>
    </rPh>
    <phoneticPr fontId="3"/>
  </si>
  <si>
    <t>　　理事長様</t>
    <rPh sb="2" eb="3">
      <t>リ</t>
    </rPh>
    <rPh sb="3" eb="4">
      <t>コト</t>
    </rPh>
    <rPh sb="4" eb="5">
      <t>チョウ</t>
    </rPh>
    <rPh sb="5" eb="6">
      <t>サマ</t>
    </rPh>
    <phoneticPr fontId="3"/>
  </si>
  <si>
    <t>代表者氏名</t>
    <rPh sb="0" eb="3">
      <t>ダイヒョウシャ</t>
    </rPh>
    <rPh sb="3" eb="5">
      <t>シメイ</t>
    </rPh>
    <phoneticPr fontId="3"/>
  </si>
  <si>
    <t>住　　　所</t>
    <rPh sb="0" eb="1">
      <t>ジュウ</t>
    </rPh>
    <rPh sb="4" eb="5">
      <t>ショ</t>
    </rPh>
    <phoneticPr fontId="3"/>
  </si>
  <si>
    <t>電　　　話</t>
    <rPh sb="0" eb="1">
      <t>デン</t>
    </rPh>
    <rPh sb="4" eb="5">
      <t>ハナシ</t>
    </rPh>
    <phoneticPr fontId="3"/>
  </si>
  <si>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3"/>
  </si>
  <si>
    <t>　ので申請します。</t>
    <rPh sb="3" eb="5">
      <t>シンセイ</t>
    </rPh>
    <phoneticPr fontId="3"/>
  </si>
  <si>
    <t>　該当すると認められるので、使用料を減免したい。</t>
    <rPh sb="14" eb="17">
      <t>シヨウリョウ</t>
    </rPh>
    <rPh sb="18" eb="20">
      <t>ゲンメン</t>
    </rPh>
    <phoneticPr fontId="3"/>
  </si>
  <si>
    <t>〔使用料減免額〕</t>
    <rPh sb="1" eb="4">
      <t>シヨウリョウ</t>
    </rPh>
    <rPh sb="4" eb="6">
      <t>ゲンメン</t>
    </rPh>
    <rPh sb="6" eb="7">
      <t>ガク</t>
    </rPh>
    <phoneticPr fontId="3"/>
  </si>
  <si>
    <t>円</t>
    <rPh sb="0" eb="1">
      <t>エン</t>
    </rPh>
    <phoneticPr fontId="3"/>
  </si>
  <si>
    <t>＜内訳＞</t>
    <rPh sb="1" eb="3">
      <t>ウチワケ</t>
    </rPh>
    <phoneticPr fontId="3"/>
  </si>
  <si>
    <t>＠</t>
    <phoneticPr fontId="3"/>
  </si>
  <si>
    <t>係　長</t>
    <rPh sb="0" eb="1">
      <t>カカリ</t>
    </rPh>
    <rPh sb="2" eb="3">
      <t>チョウ</t>
    </rPh>
    <phoneticPr fontId="3"/>
  </si>
  <si>
    <t>利用日変更（取消）報告書</t>
    <rPh sb="0" eb="3">
      <t>リヨウビ</t>
    </rPh>
    <rPh sb="3" eb="5">
      <t>ヘンコウ</t>
    </rPh>
    <rPh sb="6" eb="8">
      <t>トリケシ</t>
    </rPh>
    <rPh sb="9" eb="12">
      <t>ホウコクショ</t>
    </rPh>
    <phoneticPr fontId="3"/>
  </si>
  <si>
    <t>10</t>
    <phoneticPr fontId="3"/>
  </si>
  <si>
    <t>札幌市立青少年山の家小学校</t>
    <phoneticPr fontId="3"/>
  </si>
  <si>
    <t>㊞</t>
    <phoneticPr fontId="3"/>
  </si>
  <si>
    <t>㊞</t>
    <phoneticPr fontId="3"/>
  </si>
  <si>
    <t>利用日変更</t>
    <rPh sb="0" eb="3">
      <t>リヨウビ</t>
    </rPh>
    <rPh sb="3" eb="5">
      <t>ヘンコウ</t>
    </rPh>
    <phoneticPr fontId="3"/>
  </si>
  <si>
    <t>について、下記のとおり報告します。</t>
    <rPh sb="5" eb="7">
      <t>カキ</t>
    </rPh>
    <rPh sb="11" eb="13">
      <t>ホウコク</t>
    </rPh>
    <phoneticPr fontId="3"/>
  </si>
  <si>
    <t>利用取消</t>
    <rPh sb="0" eb="2">
      <t>リヨウ</t>
    </rPh>
    <rPh sb="2" eb="4">
      <t>トリケシ</t>
    </rPh>
    <phoneticPr fontId="3"/>
  </si>
  <si>
    <t>１　変更・取消前利用予定日</t>
    <rPh sb="2" eb="4">
      <t>ヘンコウ</t>
    </rPh>
    <rPh sb="5" eb="7">
      <t>トリケシ</t>
    </rPh>
    <rPh sb="7" eb="8">
      <t>マエ</t>
    </rPh>
    <rPh sb="8" eb="10">
      <t>リヨウ</t>
    </rPh>
    <rPh sb="10" eb="13">
      <t>ヨテイビ</t>
    </rPh>
    <phoneticPr fontId="3"/>
  </si>
  <si>
    <t>～</t>
    <phoneticPr fontId="3"/>
  </si>
  <si>
    <t>（</t>
    <phoneticPr fontId="3"/>
  </si>
  <si>
    <t>２　変更後利用予定日</t>
    <rPh sb="2" eb="4">
      <t>ヘンコウ</t>
    </rPh>
    <rPh sb="4" eb="5">
      <t>ゴ</t>
    </rPh>
    <rPh sb="5" eb="7">
      <t>リヨウ</t>
    </rPh>
    <rPh sb="7" eb="10">
      <t>ヨテイビ</t>
    </rPh>
    <phoneticPr fontId="3"/>
  </si>
  <si>
    <t>）</t>
    <phoneticPr fontId="3"/>
  </si>
  <si>
    <t>３　利用予定人数</t>
    <rPh sb="2" eb="4">
      <t>リヨウ</t>
    </rPh>
    <rPh sb="4" eb="6">
      <t>ヨテイ</t>
    </rPh>
    <rPh sb="6" eb="8">
      <t>ニンズウ</t>
    </rPh>
    <phoneticPr fontId="3"/>
  </si>
  <si>
    <t>４　変更・取消の理由</t>
    <rPh sb="2" eb="4">
      <t>ヘンコウ</t>
    </rPh>
    <rPh sb="5" eb="7">
      <t>トリケシ</t>
    </rPh>
    <rPh sb="8" eb="10">
      <t>リユウ</t>
    </rPh>
    <phoneticPr fontId="3"/>
  </si>
  <si>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3"/>
  </si>
  <si>
    <t>【様式10　車両動向報告書】</t>
    <rPh sb="1" eb="3">
      <t>ヨウシキ</t>
    </rPh>
    <rPh sb="6" eb="8">
      <t>シャリョウ</t>
    </rPh>
    <rPh sb="8" eb="10">
      <t>ドウコウ</t>
    </rPh>
    <rPh sb="10" eb="13">
      <t>ホウコクショ</t>
    </rPh>
    <phoneticPr fontId="3"/>
  </si>
  <si>
    <t>～　留　意　事　項　～</t>
    <rPh sb="2" eb="3">
      <t>トメ</t>
    </rPh>
    <rPh sb="4" eb="5">
      <t>イ</t>
    </rPh>
    <rPh sb="6" eb="7">
      <t>コト</t>
    </rPh>
    <rPh sb="8" eb="9">
      <t>コウ</t>
    </rPh>
    <phoneticPr fontId="3"/>
  </si>
  <si>
    <t>※　事前報告のあった車両のみ入・退園することができます。（山の家で駐・停車箇所を調整いたします。）</t>
    <rPh sb="2" eb="4">
      <t>ジゼン</t>
    </rPh>
    <rPh sb="4" eb="6">
      <t>ホウコク</t>
    </rPh>
    <rPh sb="10" eb="12">
      <t>シャリョウ</t>
    </rPh>
    <rPh sb="14" eb="15">
      <t>ニュウ</t>
    </rPh>
    <rPh sb="16" eb="18">
      <t>タイエン</t>
    </rPh>
    <phoneticPr fontId="3"/>
  </si>
  <si>
    <t>※　滝野の森口（通称：森口）通行可能時間は、緊急時を除き、原則7：00～20：00です。</t>
    <rPh sb="2" eb="4">
      <t>タキノ</t>
    </rPh>
    <rPh sb="5" eb="7">
      <t>モリグチ</t>
    </rPh>
    <rPh sb="8" eb="10">
      <t>ツウショウ</t>
    </rPh>
    <rPh sb="11" eb="13">
      <t>モリグチ</t>
    </rPh>
    <rPh sb="14" eb="16">
      <t>ツウコウ</t>
    </rPh>
    <rPh sb="16" eb="18">
      <t>カノウ</t>
    </rPh>
    <rPh sb="18" eb="20">
      <t>ジカン</t>
    </rPh>
    <rPh sb="22" eb="25">
      <t>キンキュウジ</t>
    </rPh>
    <rPh sb="26" eb="27">
      <t>ノゾ</t>
    </rPh>
    <rPh sb="29" eb="31">
      <t>ゲンソク</t>
    </rPh>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</si>
  <si>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8" eb="29">
      <t>チュウ</t>
    </rPh>
    <rPh sb="30" eb="33">
      <t>テイシャジョウ</t>
    </rPh>
    <rPh sb="32" eb="34">
      <t>バショ</t>
    </rPh>
    <rPh sb="36" eb="37">
      <t>ミナミ</t>
    </rPh>
    <rPh sb="37" eb="40">
      <t>チュウシャジョウ</t>
    </rPh>
    <phoneticPr fontId="3"/>
  </si>
  <si>
    <t>※　身障者用駐車場が必要な車両は、備考欄にその旨を記載してください。</t>
    <rPh sb="2" eb="5">
      <t>シンショウシャ</t>
    </rPh>
    <rPh sb="5" eb="6">
      <t>ヨウ</t>
    </rPh>
    <rPh sb="6" eb="9">
      <t>チュウシャジョウ</t>
    </rPh>
    <rPh sb="10" eb="12">
      <t>ヒツヨウ</t>
    </rPh>
    <rPh sb="13" eb="15">
      <t>シャリョウ</t>
    </rPh>
    <rPh sb="17" eb="19">
      <t>ビコウ</t>
    </rPh>
    <rPh sb="19" eb="20">
      <t>ラン</t>
    </rPh>
    <rPh sb="23" eb="24">
      <t>ムネ</t>
    </rPh>
    <rPh sb="25" eb="27">
      <t>キサイ</t>
    </rPh>
    <phoneticPr fontId="3"/>
  </si>
  <si>
    <t>※　補助的指導者の車両は、学校団体のみを対象として４台を上限に駐車することができます。</t>
    <rPh sb="2" eb="5">
      <t>ホジョテキ</t>
    </rPh>
    <rPh sb="5" eb="8">
      <t>シドウシャ</t>
    </rPh>
    <rPh sb="9" eb="11">
      <t>シャリョウ</t>
    </rPh>
    <rPh sb="13" eb="15">
      <t>ガッコウ</t>
    </rPh>
    <rPh sb="15" eb="17">
      <t>ダンタイ</t>
    </rPh>
    <rPh sb="20" eb="22">
      <t>タイショウ</t>
    </rPh>
    <rPh sb="26" eb="27">
      <t>ダイ</t>
    </rPh>
    <rPh sb="28" eb="30">
      <t>ジョウゲン</t>
    </rPh>
    <rPh sb="31" eb="33">
      <t>チュウシャ</t>
    </rPh>
    <phoneticPr fontId="3"/>
  </si>
  <si>
    <t>利用日</t>
    <rPh sb="0" eb="3">
      <t>リヨウビ</t>
    </rPh>
    <phoneticPr fontId="3"/>
  </si>
  <si>
    <t>：</t>
    <phoneticPr fontId="3"/>
  </si>
  <si>
    <t>団体名</t>
    <rPh sb="0" eb="2">
      <t>ダンタイ</t>
    </rPh>
    <rPh sb="2" eb="3">
      <t>メイ</t>
    </rPh>
    <phoneticPr fontId="3"/>
  </si>
  <si>
    <t>：</t>
    <phoneticPr fontId="3"/>
  </si>
  <si>
    <t>車種</t>
    <rPh sb="0" eb="2">
      <t>シャシュ</t>
    </rPh>
    <phoneticPr fontId="3"/>
  </si>
  <si>
    <t>台数</t>
    <rPh sb="0" eb="2">
      <t>ダイスウ</t>
    </rPh>
    <phoneticPr fontId="3"/>
  </si>
  <si>
    <t>駐・停車
希望場所</t>
    <rPh sb="0" eb="1">
      <t>チュウ</t>
    </rPh>
    <rPh sb="2" eb="4">
      <t>テイシャ</t>
    </rPh>
    <rPh sb="5" eb="7">
      <t>キボウ</t>
    </rPh>
    <rPh sb="7" eb="9">
      <t>バショ</t>
    </rPh>
    <phoneticPr fontId="3"/>
  </si>
  <si>
    <t>※No.1で行が足りない場合は、No.2をご使用ください。</t>
    <rPh sb="6" eb="7">
      <t>ギョウ</t>
    </rPh>
    <rPh sb="8" eb="9">
      <t>タ</t>
    </rPh>
    <rPh sb="12" eb="14">
      <t>バアイ</t>
    </rPh>
    <rPh sb="22" eb="24">
      <t>シヨウ</t>
    </rPh>
    <phoneticPr fontId="3"/>
  </si>
  <si>
    <t>：</t>
    <phoneticPr fontId="3"/>
  </si>
  <si>
    <t>（</t>
    <phoneticPr fontId="3"/>
  </si>
  <si>
    <t>）</t>
    <phoneticPr fontId="3"/>
  </si>
  <si>
    <t>～</t>
    <phoneticPr fontId="3"/>
  </si>
  <si>
    <t>※　入・退園及び荷物積込の際、マイクロバス以外の大型バス駐・停車場所は、南駐車場です。</t>
    <rPh sb="2" eb="3">
      <t>ニュウ</t>
    </rPh>
    <rPh sb="4" eb="6">
      <t>タイエン</t>
    </rPh>
    <rPh sb="6" eb="7">
      <t>オヨ</t>
    </rPh>
    <rPh sb="8" eb="10">
      <t>ニモツ</t>
    </rPh>
    <rPh sb="10" eb="11">
      <t>ツ</t>
    </rPh>
    <rPh sb="11" eb="12">
      <t>コ</t>
    </rPh>
    <rPh sb="13" eb="14">
      <t>サイ</t>
    </rPh>
    <rPh sb="21" eb="23">
      <t>イガイ</t>
    </rPh>
    <rPh sb="24" eb="26">
      <t>オオガタ</t>
    </rPh>
    <rPh sb="28" eb="29">
      <t>チュウ</t>
    </rPh>
    <rPh sb="30" eb="33">
      <t>テイシャジョウ</t>
    </rPh>
    <rPh sb="32" eb="34">
      <t>バショ</t>
    </rPh>
    <rPh sb="36" eb="37">
      <t>ミナミ</t>
    </rPh>
    <rPh sb="37" eb="40">
      <t>チュウシャジョウ</t>
    </rPh>
    <phoneticPr fontId="3"/>
  </si>
  <si>
    <t>大型バス</t>
  </si>
  <si>
    <t>南駐車場</t>
  </si>
  <si>
    <t>乗用車</t>
  </si>
  <si>
    <t>山の家・入口</t>
  </si>
  <si>
    <t>日帰り</t>
  </si>
  <si>
    <t>【様式10　車両動向報告書】≪記載例≫</t>
    <rPh sb="1" eb="3">
      <t>ヨウシキ</t>
    </rPh>
    <rPh sb="6" eb="8">
      <t>シャリョウ</t>
    </rPh>
    <rPh sb="8" eb="10">
      <t>ドウコウ</t>
    </rPh>
    <rPh sb="10" eb="13">
      <t>ホウコクショ</t>
    </rPh>
    <rPh sb="15" eb="17">
      <t>キサイ</t>
    </rPh>
    <rPh sb="17" eb="18">
      <t>レイ</t>
    </rPh>
    <phoneticPr fontId="3"/>
  </si>
  <si>
    <t>ＦＡＸ：</t>
    <phoneticPr fontId="3"/>
  </si>
  <si>
    <t>運転者（氏名）</t>
    <rPh sb="0" eb="3">
      <t>ウンテンシャ</t>
    </rPh>
    <rPh sb="4" eb="6">
      <t>シメイ</t>
    </rPh>
    <phoneticPr fontId="3"/>
  </si>
  <si>
    <t>→</t>
    <phoneticPr fontId="3"/>
  </si>
  <si>
    <t>→</t>
    <phoneticPr fontId="3"/>
  </si>
  <si>
    <t>アレルゲン以外の特別な事情により、
やむを得ず食事をお持ち込みになる方はいますか。</t>
    <rPh sb="23" eb="25">
      <t>ショクジ</t>
    </rPh>
    <phoneticPr fontId="3"/>
  </si>
  <si>
    <t>　※原則、７大アレルゲン以外の対応はできません。</t>
    <rPh sb="2" eb="4">
      <t>ゲンソク</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</si>
  <si>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</si>
  <si>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</si>
  <si>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</si>
  <si>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</si>
  <si>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</si>
  <si>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</si>
  <si>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</si>
  <si>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</si>
  <si>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</si>
  <si>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はじめにお読みください</t>
    <rPh sb="5" eb="6">
      <t>ヨ</t>
    </rPh>
    <phoneticPr fontId="5"/>
  </si>
  <si>
    <t>シート名</t>
    <rPh sb="3" eb="4">
      <t>メイ</t>
    </rPh>
    <phoneticPr fontId="5"/>
  </si>
  <si>
    <t>01 使用承認申請書</t>
    <rPh sb="3" eb="5">
      <t>シヨウ</t>
    </rPh>
    <rPh sb="5" eb="7">
      <t>ショウニン</t>
    </rPh>
    <rPh sb="7" eb="10">
      <t>シンセイショ</t>
    </rPh>
    <phoneticPr fontId="5"/>
  </si>
  <si>
    <t>02 利用計画書</t>
    <rPh sb="3" eb="5">
      <t>リヨウ</t>
    </rPh>
    <rPh sb="5" eb="7">
      <t>ケイカク</t>
    </rPh>
    <rPh sb="7" eb="8">
      <t>ショ</t>
    </rPh>
    <phoneticPr fontId="5"/>
  </si>
  <si>
    <t>03 食事申込書</t>
    <rPh sb="3" eb="5">
      <t>ショクジ</t>
    </rPh>
    <rPh sb="5" eb="8">
      <t>モウシコミショ</t>
    </rPh>
    <phoneticPr fontId="5"/>
  </si>
  <si>
    <t>04 食物アレルギー確認書</t>
    <rPh sb="3" eb="5">
      <t>ショクモツ</t>
    </rPh>
    <rPh sb="10" eb="13">
      <t>カクニンショ</t>
    </rPh>
    <phoneticPr fontId="5"/>
  </si>
  <si>
    <t>　ご入館日1か月前（長期休業直後利用の学校団体を除く）から利用調整を開始いたしますので、それまでにお申し込み（予約及び申請書類提出）を終えられることを推奨します。</t>
    <rPh sb="2" eb="5">
      <t>ニュウカンビ</t>
    </rPh>
    <rPh sb="7" eb="8">
      <t>ゲツ</t>
    </rPh>
    <rPh sb="8" eb="9">
      <t>マエ</t>
    </rPh>
    <rPh sb="10" eb="12">
      <t>チョウキ</t>
    </rPh>
    <rPh sb="12" eb="14">
      <t>キュウギョウ</t>
    </rPh>
    <rPh sb="14" eb="16">
      <t>チョクゴ</t>
    </rPh>
    <rPh sb="16" eb="18">
      <t>リヨウ</t>
    </rPh>
    <rPh sb="19" eb="21">
      <t>ガッコウ</t>
    </rPh>
    <rPh sb="21" eb="23">
      <t>ダンタイ</t>
    </rPh>
    <rPh sb="24" eb="25">
      <t>ノゾ</t>
    </rPh>
    <rPh sb="29" eb="31">
      <t>リヨウ</t>
    </rPh>
    <rPh sb="31" eb="33">
      <t>チョウセイ</t>
    </rPh>
    <rPh sb="34" eb="36">
      <t>カイシ</t>
    </rPh>
    <rPh sb="50" eb="51">
      <t>モウ</t>
    </rPh>
    <rPh sb="52" eb="53">
      <t>コ</t>
    </rPh>
    <rPh sb="55" eb="57">
      <t>ヨヤク</t>
    </rPh>
    <rPh sb="57" eb="58">
      <t>オヨ</t>
    </rPh>
    <rPh sb="61" eb="63">
      <t>ショルイ</t>
    </rPh>
    <rPh sb="63" eb="65">
      <t>テイシュツ</t>
    </rPh>
    <rPh sb="67" eb="68">
      <t>オ</t>
    </rPh>
    <rPh sb="75" eb="77">
      <t>スイショウ</t>
    </rPh>
    <phoneticPr fontId="5"/>
  </si>
  <si>
    <t>必要があれば提出</t>
    <rPh sb="0" eb="2">
      <t>ヒツヨウ</t>
    </rPh>
    <rPh sb="6" eb="8">
      <t>テイシュツ</t>
    </rPh>
    <phoneticPr fontId="5"/>
  </si>
  <si>
    <t>オレンジ枠</t>
    <rPh sb="4" eb="5">
      <t>ワク</t>
    </rPh>
    <phoneticPr fontId="5"/>
  </si>
  <si>
    <t>　　　　各シートの</t>
    <rPh sb="4" eb="5">
      <t>カク</t>
    </rPh>
    <phoneticPr fontId="5"/>
  </si>
  <si>
    <t>　は、必須入力箇所となります。</t>
    <rPh sb="3" eb="5">
      <t>ヒッス</t>
    </rPh>
    <rPh sb="5" eb="7">
      <t>ニュウリョク</t>
    </rPh>
    <rPh sb="7" eb="9">
      <t>カショ</t>
    </rPh>
    <phoneticPr fontId="5"/>
  </si>
  <si>
    <t>通常食</t>
    <rPh sb="0" eb="2">
      <t>ツウジョウ</t>
    </rPh>
    <rPh sb="2" eb="3">
      <t>ショク</t>
    </rPh>
    <phoneticPr fontId="8"/>
  </si>
  <si>
    <t>炊事判定</t>
  </si>
  <si>
    <t>ソート用データ</t>
  </si>
  <si>
    <t>期日</t>
  </si>
  <si>
    <t>昼</t>
  </si>
  <si>
    <t>夕</t>
  </si>
  <si>
    <t>朝</t>
  </si>
  <si>
    <t>メニュー</t>
  </si>
  <si>
    <t>人数</t>
  </si>
  <si>
    <t>班合計人数</t>
  </si>
  <si>
    <t>▼食堂食▼</t>
  </si>
  <si>
    <t>食堂</t>
  </si>
  <si>
    <t>▼時機▼</t>
  </si>
  <si>
    <t>通常食</t>
  </si>
  <si>
    <t>キッズA</t>
  </si>
  <si>
    <t>キッズB</t>
  </si>
  <si>
    <t>▼携帯食▼</t>
  </si>
  <si>
    <t>▼炊事食▼</t>
  </si>
  <si>
    <t>　ゴマ塩おにぎり</t>
  </si>
  <si>
    <t>ゴマ塩おにぎり</t>
  </si>
  <si>
    <t>　カレーライス</t>
  </si>
  <si>
    <t>カレーライス</t>
  </si>
  <si>
    <t>　牛丼</t>
  </si>
  <si>
    <t>牛丼</t>
  </si>
  <si>
    <t>　豚汁</t>
  </si>
  <si>
    <t>豚汁</t>
  </si>
  <si>
    <t>　ホットドッグ</t>
  </si>
  <si>
    <t>ホットドッグ</t>
  </si>
  <si>
    <t>　焼きうどん</t>
  </si>
  <si>
    <t>　焼きそば</t>
  </si>
  <si>
    <t>焼きそば</t>
  </si>
  <si>
    <t>　ジンギスカン</t>
  </si>
  <si>
    <t>ジンギスカン</t>
  </si>
  <si>
    <t>　炊き出し</t>
  </si>
  <si>
    <t>炊き出し</t>
  </si>
  <si>
    <t>　プリン</t>
  </si>
  <si>
    <t>　ミニエクレア</t>
  </si>
  <si>
    <t>　フライドポテト</t>
  </si>
  <si>
    <t>　アイスクリーム</t>
  </si>
  <si>
    <t>　チキンナゲット</t>
  </si>
  <si>
    <t>　フランクフルト</t>
  </si>
  <si>
    <t>　鶏の唐揚げ</t>
  </si>
  <si>
    <t>プリン</t>
  </si>
  <si>
    <t>ミニエクレア</t>
  </si>
  <si>
    <t>▼飲料▼</t>
  </si>
  <si>
    <t>フライドポテト</t>
  </si>
  <si>
    <t>　お～いお茶</t>
  </si>
  <si>
    <t>アイスクリーム</t>
  </si>
  <si>
    <t>　アップル：バヤリース</t>
  </si>
  <si>
    <t>チキンナゲット</t>
  </si>
  <si>
    <t>　オレンジ：バヤリース</t>
  </si>
  <si>
    <t>フランクフルト</t>
  </si>
  <si>
    <t>　ラブズスポーツ</t>
  </si>
  <si>
    <t>鶏の唐揚げ</t>
  </si>
  <si>
    <t>　香り茶：大和園</t>
  </si>
  <si>
    <t>携帯食</t>
  </si>
  <si>
    <t>日</t>
  </si>
  <si>
    <t>（</t>
    <phoneticPr fontId="3"/>
  </si>
  <si>
    <t>月</t>
    <rPh sb="0" eb="1">
      <t>ゲツ</t>
    </rPh>
    <phoneticPr fontId="8"/>
  </si>
  <si>
    <t>火</t>
    <rPh sb="0" eb="1">
      <t>ヒ</t>
    </rPh>
    <phoneticPr fontId="8"/>
  </si>
  <si>
    <t>木</t>
    <rPh sb="0" eb="1">
      <t>モク</t>
    </rPh>
    <phoneticPr fontId="8"/>
  </si>
  <si>
    <t>入館</t>
    <rPh sb="0" eb="2">
      <t>ニュウカン</t>
    </rPh>
    <phoneticPr fontId="8"/>
  </si>
  <si>
    <t>退館</t>
    <rPh sb="0" eb="2">
      <t>タイカン</t>
    </rPh>
    <phoneticPr fontId="8"/>
  </si>
  <si>
    <t>朝　食</t>
    <rPh sb="0" eb="1">
      <t>アサ</t>
    </rPh>
    <rPh sb="2" eb="3">
      <t>ショク</t>
    </rPh>
    <phoneticPr fontId="30"/>
  </si>
  <si>
    <t>昼　食</t>
    <rPh sb="0" eb="1">
      <t>ヒル</t>
    </rPh>
    <rPh sb="2" eb="3">
      <t>ショク</t>
    </rPh>
    <phoneticPr fontId="30"/>
  </si>
  <si>
    <t>夕　食</t>
    <rPh sb="0" eb="1">
      <t>ユウ</t>
    </rPh>
    <rPh sb="2" eb="3">
      <t>ショク</t>
    </rPh>
    <phoneticPr fontId="30"/>
  </si>
  <si>
    <t>昼　食</t>
    <rPh sb="0" eb="1">
      <t>ヒル</t>
    </rPh>
    <rPh sb="2" eb="3">
      <t>ショク</t>
    </rPh>
    <phoneticPr fontId="3"/>
  </si>
  <si>
    <t>夕　食</t>
    <rPh sb="0" eb="1">
      <t>ユウ</t>
    </rPh>
    <rPh sb="2" eb="3">
      <t>ショク</t>
    </rPh>
    <phoneticPr fontId="3"/>
  </si>
  <si>
    <t>場所</t>
    <rPh sb="0" eb="2">
      <t>バショ</t>
    </rPh>
    <phoneticPr fontId="3"/>
  </si>
  <si>
    <t>メニュー</t>
    <phoneticPr fontId="30"/>
  </si>
  <si>
    <t>炊事合計人数</t>
    <rPh sb="0" eb="2">
      <t>スイジ</t>
    </rPh>
    <rPh sb="2" eb="4">
      <t>ゴウケイ</t>
    </rPh>
    <rPh sb="4" eb="6">
      <t>ニンズウ</t>
    </rPh>
    <phoneticPr fontId="30"/>
  </si>
  <si>
    <t>炊事半数</t>
    <rPh sb="0" eb="2">
      <t>スイジ</t>
    </rPh>
    <rPh sb="2" eb="4">
      <t>ハンスウ</t>
    </rPh>
    <phoneticPr fontId="30"/>
  </si>
  <si>
    <t>人数報告用紙転載用ソートデータ</t>
    <rPh sb="0" eb="2">
      <t>ニンズウ</t>
    </rPh>
    <rPh sb="2" eb="4">
      <t>ホウコク</t>
    </rPh>
    <rPh sb="4" eb="6">
      <t>ヨウシ</t>
    </rPh>
    <rPh sb="6" eb="8">
      <t>テンサイ</t>
    </rPh>
    <rPh sb="8" eb="9">
      <t>ヨウ</t>
    </rPh>
    <phoneticPr fontId="30"/>
  </si>
  <si>
    <t>期日</t>
    <rPh sb="0" eb="2">
      <t>キジツ</t>
    </rPh>
    <phoneticPr fontId="30"/>
  </si>
  <si>
    <t>時機</t>
    <rPh sb="0" eb="2">
      <t>ジキ</t>
    </rPh>
    <phoneticPr fontId="30"/>
  </si>
  <si>
    <t>人数</t>
    <rPh sb="0" eb="2">
      <t>ニンズウ</t>
    </rPh>
    <phoneticPr fontId="30"/>
  </si>
  <si>
    <t>幼児</t>
    <rPh sb="0" eb="2">
      <t>ヨウジ</t>
    </rPh>
    <phoneticPr fontId="30"/>
  </si>
  <si>
    <t>小学生</t>
    <rPh sb="0" eb="3">
      <t>ショウガクセイ</t>
    </rPh>
    <phoneticPr fontId="30"/>
  </si>
  <si>
    <t>食堂以外</t>
    <rPh sb="0" eb="2">
      <t>ショクドウ</t>
    </rPh>
    <rPh sb="2" eb="4">
      <t>イガイ</t>
    </rPh>
    <phoneticPr fontId="30"/>
  </si>
  <si>
    <t>中学生以上</t>
    <rPh sb="0" eb="3">
      <t>チュウガクセイ</t>
    </rPh>
    <rPh sb="3" eb="5">
      <t>イジョウ</t>
    </rPh>
    <phoneticPr fontId="30"/>
  </si>
  <si>
    <t>料金</t>
    <rPh sb="0" eb="2">
      <t>リョウキン</t>
    </rPh>
    <phoneticPr fontId="30"/>
  </si>
  <si>
    <t>人数報告書メニュー名</t>
    <rPh sb="0" eb="2">
      <t>ニンズウ</t>
    </rPh>
    <rPh sb="2" eb="5">
      <t>ホウコクショ</t>
    </rPh>
    <rPh sb="9" eb="10">
      <t>メイ</t>
    </rPh>
    <phoneticPr fontId="30"/>
  </si>
  <si>
    <t>　クリスタルガイザー</t>
    <phoneticPr fontId="30"/>
  </si>
  <si>
    <t>判定＆ソート用データ</t>
    <rPh sb="0" eb="2">
      <t>ハンテイ</t>
    </rPh>
    <rPh sb="6" eb="7">
      <t>ヨウ</t>
    </rPh>
    <phoneticPr fontId="30"/>
  </si>
  <si>
    <t>メニュー判定用</t>
    <rPh sb="4" eb="7">
      <t>ハンテイヨウ</t>
    </rPh>
    <phoneticPr fontId="30"/>
  </si>
  <si>
    <t>昼　食通常食幼児</t>
    <rPh sb="0" eb="1">
      <t>ヒル</t>
    </rPh>
    <rPh sb="2" eb="3">
      <t>ショク</t>
    </rPh>
    <rPh sb="3" eb="5">
      <t>ツウジョウ</t>
    </rPh>
    <rPh sb="5" eb="6">
      <t>ショク</t>
    </rPh>
    <rPh sb="6" eb="8">
      <t>ヨウジ</t>
    </rPh>
    <phoneticPr fontId="30"/>
  </si>
  <si>
    <t>昼　食通常食小学生</t>
    <rPh sb="0" eb="1">
      <t>ヒル</t>
    </rPh>
    <rPh sb="2" eb="3">
      <t>ショク</t>
    </rPh>
    <rPh sb="3" eb="5">
      <t>ツウジョウ</t>
    </rPh>
    <rPh sb="5" eb="6">
      <t>ショク</t>
    </rPh>
    <rPh sb="6" eb="9">
      <t>ショウガクセイ</t>
    </rPh>
    <phoneticPr fontId="30"/>
  </si>
  <si>
    <t>昼　食通常食中学生以上</t>
    <rPh sb="0" eb="1">
      <t>ヒル</t>
    </rPh>
    <rPh sb="2" eb="3">
      <t>ショク</t>
    </rPh>
    <rPh sb="3" eb="5">
      <t>ツウジョウ</t>
    </rPh>
    <rPh sb="5" eb="6">
      <t>ショク</t>
    </rPh>
    <rPh sb="6" eb="9">
      <t>チュウガクセイ</t>
    </rPh>
    <rPh sb="9" eb="11">
      <t>イジョウ</t>
    </rPh>
    <phoneticPr fontId="30"/>
  </si>
  <si>
    <t>夕　食通常食幼児</t>
    <rPh sb="0" eb="1">
      <t>ユウ</t>
    </rPh>
    <rPh sb="2" eb="3">
      <t>ショク</t>
    </rPh>
    <rPh sb="3" eb="5">
      <t>ツウジョウ</t>
    </rPh>
    <rPh sb="5" eb="6">
      <t>ショク</t>
    </rPh>
    <rPh sb="6" eb="8">
      <t>ヨウジ</t>
    </rPh>
    <phoneticPr fontId="30"/>
  </si>
  <si>
    <t>夕　食通常食小学生</t>
    <rPh sb="0" eb="1">
      <t>ユウ</t>
    </rPh>
    <rPh sb="2" eb="3">
      <t>ショク</t>
    </rPh>
    <rPh sb="3" eb="5">
      <t>ツウジョウ</t>
    </rPh>
    <rPh sb="5" eb="6">
      <t>ショク</t>
    </rPh>
    <rPh sb="6" eb="9">
      <t>ショウガクセイ</t>
    </rPh>
    <phoneticPr fontId="30"/>
  </si>
  <si>
    <t>夕　食通常食中学生以上</t>
    <rPh sb="0" eb="1">
      <t>ユウ</t>
    </rPh>
    <rPh sb="2" eb="3">
      <t>ショク</t>
    </rPh>
    <rPh sb="3" eb="5">
      <t>ツウジョウ</t>
    </rPh>
    <rPh sb="5" eb="6">
      <t>ショク</t>
    </rPh>
    <rPh sb="6" eb="9">
      <t>チュウガクセイ</t>
    </rPh>
    <rPh sb="9" eb="11">
      <t>イジョウ</t>
    </rPh>
    <phoneticPr fontId="30"/>
  </si>
  <si>
    <t>朝　食通常食幼児</t>
    <rPh sb="0" eb="1">
      <t>アサ</t>
    </rPh>
    <rPh sb="2" eb="3">
      <t>ショク</t>
    </rPh>
    <rPh sb="3" eb="5">
      <t>ツウジョウ</t>
    </rPh>
    <rPh sb="5" eb="6">
      <t>ショク</t>
    </rPh>
    <rPh sb="6" eb="8">
      <t>ヨウジ</t>
    </rPh>
    <phoneticPr fontId="30"/>
  </si>
  <si>
    <t>朝　食通常食小学生</t>
    <rPh sb="0" eb="1">
      <t>アサ</t>
    </rPh>
    <rPh sb="2" eb="3">
      <t>ショク</t>
    </rPh>
    <rPh sb="3" eb="5">
      <t>ツウジョウ</t>
    </rPh>
    <rPh sb="5" eb="6">
      <t>ショク</t>
    </rPh>
    <rPh sb="6" eb="9">
      <t>ショウガクセイ</t>
    </rPh>
    <phoneticPr fontId="30"/>
  </si>
  <si>
    <t>朝　食通常食中学生以上</t>
    <rPh sb="0" eb="1">
      <t>アサ</t>
    </rPh>
    <rPh sb="2" eb="3">
      <t>ショク</t>
    </rPh>
    <rPh sb="3" eb="5">
      <t>ツウジョウ</t>
    </rPh>
    <rPh sb="5" eb="6">
      <t>ショク</t>
    </rPh>
    <rPh sb="6" eb="9">
      <t>チュウガクセイ</t>
    </rPh>
    <rPh sb="9" eb="11">
      <t>イジョウ</t>
    </rPh>
    <phoneticPr fontId="30"/>
  </si>
  <si>
    <t>単価</t>
    <rPh sb="0" eb="2">
      <t>タンカ</t>
    </rPh>
    <phoneticPr fontId="30"/>
  </si>
  <si>
    <t>総数</t>
    <rPh sb="0" eb="2">
      <t>ソウスウ</t>
    </rPh>
    <phoneticPr fontId="30"/>
  </si>
  <si>
    <t>小計</t>
    <rPh sb="0" eb="1">
      <t>ショウ</t>
    </rPh>
    <rPh sb="1" eb="2">
      <t>ケイ</t>
    </rPh>
    <phoneticPr fontId="30"/>
  </si>
  <si>
    <t>ソート用データ</t>
    <rPh sb="3" eb="4">
      <t>ヨウ</t>
    </rPh>
    <phoneticPr fontId="30"/>
  </si>
  <si>
    <t>時機（略）</t>
    <rPh sb="0" eb="2">
      <t>ジキ</t>
    </rPh>
    <rPh sb="3" eb="4">
      <t>リャク</t>
    </rPh>
    <phoneticPr fontId="30"/>
  </si>
  <si>
    <t>日</t>
    <phoneticPr fontId="30"/>
  </si>
  <si>
    <t>卵（鳥）</t>
    <rPh sb="0" eb="1">
      <t>タマゴ</t>
    </rPh>
    <rPh sb="2" eb="3">
      <t>トリ</t>
    </rPh>
    <phoneticPr fontId="8"/>
  </si>
  <si>
    <t>対応不要</t>
    <rPh sb="0" eb="2">
      <t>タイオウ</t>
    </rPh>
    <rPh sb="2" eb="4">
      <t>フヨウ</t>
    </rPh>
    <phoneticPr fontId="8"/>
  </si>
  <si>
    <t>小麦</t>
    <rPh sb="0" eb="2">
      <t>コムギ</t>
    </rPh>
    <phoneticPr fontId="8"/>
  </si>
  <si>
    <t>えび</t>
    <phoneticPr fontId="8"/>
  </si>
  <si>
    <t>乳（牛）</t>
    <rPh sb="0" eb="1">
      <t>チチ</t>
    </rPh>
    <rPh sb="2" eb="3">
      <t>ウシ</t>
    </rPh>
    <phoneticPr fontId="8"/>
  </si>
  <si>
    <t>原則として７大アレルゲンのみ（※詳細については相談のこと）</t>
    <rPh sb="0" eb="2">
      <t>ゲンソク</t>
    </rPh>
    <rPh sb="6" eb="7">
      <t>ダイ</t>
    </rPh>
    <rPh sb="16" eb="18">
      <t>ショウサイ</t>
    </rPh>
    <rPh sb="23" eb="25">
      <t>ソウダン</t>
    </rPh>
    <phoneticPr fontId="3"/>
  </si>
  <si>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3"/>
  </si>
  <si>
    <t>24</t>
    <phoneticPr fontId="3"/>
  </si>
  <si>
    <t>25</t>
    <phoneticPr fontId="3"/>
  </si>
  <si>
    <t>110</t>
    <phoneticPr fontId="3"/>
  </si>
  <si>
    <t>金</t>
    <rPh sb="0" eb="1">
      <t>キン</t>
    </rPh>
    <phoneticPr fontId="8"/>
  </si>
  <si>
    <t>札幌市青少年山の家　【 利用者名簿】</t>
    <phoneticPr fontId="3"/>
  </si>
  <si>
    <t>Ｎｏ．</t>
    <phoneticPr fontId="3"/>
  </si>
  <si>
    <t>a</t>
    <phoneticPr fontId="3"/>
  </si>
  <si>
    <t>（</t>
    <phoneticPr fontId="3"/>
  </si>
  <si>
    <t>）</t>
    <phoneticPr fontId="3"/>
  </si>
  <si>
    <t>（</t>
    <phoneticPr fontId="3"/>
  </si>
  <si>
    <t>）</t>
    <phoneticPr fontId="3"/>
  </si>
  <si>
    <t>）</t>
    <phoneticPr fontId="3"/>
  </si>
  <si>
    <t>～</t>
    <phoneticPr fontId="3"/>
  </si>
  <si>
    <t>b</t>
    <phoneticPr fontId="3"/>
  </si>
  <si>
    <t>c</t>
    <phoneticPr fontId="3"/>
  </si>
  <si>
    <t>d</t>
    <phoneticPr fontId="3"/>
  </si>
  <si>
    <t>№</t>
    <phoneticPr fontId="3"/>
  </si>
  <si>
    <t>№</t>
    <phoneticPr fontId="3"/>
  </si>
  <si>
    <t>e</t>
    <phoneticPr fontId="3"/>
  </si>
  <si>
    <t>f</t>
    <phoneticPr fontId="3"/>
  </si>
  <si>
    <t>g</t>
    <phoneticPr fontId="3"/>
  </si>
  <si>
    <t>h</t>
    <phoneticPr fontId="3"/>
  </si>
  <si>
    <t>i</t>
    <phoneticPr fontId="3"/>
  </si>
  <si>
    <t>札幌市青少年山の家　【 利用者名簿】</t>
    <phoneticPr fontId="3"/>
  </si>
  <si>
    <t>Ｎｏ．</t>
    <phoneticPr fontId="3"/>
  </si>
  <si>
    <t>（</t>
    <phoneticPr fontId="3"/>
  </si>
  <si>
    <t>～</t>
    <phoneticPr fontId="3"/>
  </si>
  <si>
    <t>№</t>
    <phoneticPr fontId="3"/>
  </si>
  <si>
    <t>Ｎｏ．</t>
    <phoneticPr fontId="3"/>
  </si>
  <si>
    <t>）</t>
    <phoneticPr fontId="3"/>
  </si>
  <si>
    <t>Ｎｏ．</t>
    <phoneticPr fontId="3"/>
  </si>
  <si>
    <t>（</t>
    <phoneticPr fontId="3"/>
  </si>
  <si>
    <t>）</t>
    <phoneticPr fontId="3"/>
  </si>
  <si>
    <t>（</t>
    <phoneticPr fontId="3"/>
  </si>
  <si>
    <t>Ｎｏ．</t>
    <phoneticPr fontId="3"/>
  </si>
  <si>
    <t>札幌市青少年山の家　【 利用者名簿】</t>
    <phoneticPr fontId="3"/>
  </si>
  <si>
    <t>Ｎｏ．</t>
    <phoneticPr fontId="3"/>
  </si>
  <si>
    <t>）</t>
    <phoneticPr fontId="3"/>
  </si>
  <si>
    <t>№</t>
    <phoneticPr fontId="3"/>
  </si>
  <si>
    <t>炊事</t>
    <phoneticPr fontId="30"/>
  </si>
  <si>
    <t>炊事</t>
    <rPh sb="0" eb="2">
      <t>スイジ</t>
    </rPh>
    <phoneticPr fontId="3"/>
  </si>
  <si>
    <t>食堂</t>
    <rPh sb="0" eb="2">
      <t>ショクドウ</t>
    </rPh>
    <phoneticPr fontId="3"/>
  </si>
  <si>
    <t>課　長</t>
    <rPh sb="0" eb="1">
      <t>カ</t>
    </rPh>
    <rPh sb="2" eb="3">
      <t>チョウ</t>
    </rPh>
    <phoneticPr fontId="3"/>
  </si>
  <si>
    <t>係</t>
    <rPh sb="0" eb="1">
      <t>カカ</t>
    </rPh>
    <phoneticPr fontId="3"/>
  </si>
  <si>
    <t>10</t>
    <phoneticPr fontId="8"/>
  </si>
  <si>
    <t>1</t>
    <phoneticPr fontId="8"/>
  </si>
  <si>
    <t>2</t>
    <phoneticPr fontId="8"/>
  </si>
  <si>
    <t>木</t>
    <phoneticPr fontId="8"/>
  </si>
  <si>
    <t>金</t>
    <phoneticPr fontId="8"/>
  </si>
  <si>
    <t>　おにぎり240(鮭・おかか）</t>
    <phoneticPr fontId="30"/>
  </si>
  <si>
    <t>　おにぎり240(梅・梅）</t>
    <phoneticPr fontId="30"/>
  </si>
  <si>
    <t>　弁当440(鮭・おかか）</t>
    <phoneticPr fontId="30"/>
  </si>
  <si>
    <t>　弁当440(梅・梅）</t>
    <phoneticPr fontId="30"/>
  </si>
  <si>
    <t>月</t>
    <rPh sb="0" eb="1">
      <t>ツキ</t>
    </rPh>
    <phoneticPr fontId="8"/>
  </si>
  <si>
    <t>日</t>
    <rPh sb="0" eb="1">
      <t>ニチ</t>
    </rPh>
    <phoneticPr fontId="8"/>
  </si>
  <si>
    <t>備考（晴天時・荒天時で動きが異なるものや、
車両の動向に関する希望があればご記入ください）</t>
    <rPh sb="0" eb="2">
      <t>ビコウ</t>
    </rPh>
    <rPh sb="3" eb="5">
      <t>セイテン</t>
    </rPh>
    <rPh sb="5" eb="6">
      <t>ジ</t>
    </rPh>
    <rPh sb="7" eb="9">
      <t>コウテン</t>
    </rPh>
    <rPh sb="9" eb="10">
      <t>ジ</t>
    </rPh>
    <rPh sb="11" eb="12">
      <t>ウゴ</t>
    </rPh>
    <rPh sb="14" eb="15">
      <t>コト</t>
    </rPh>
    <rPh sb="22" eb="24">
      <t>シャリョウ</t>
    </rPh>
    <rPh sb="25" eb="27">
      <t>ドウコウ</t>
    </rPh>
    <rPh sb="28" eb="29">
      <t>カン</t>
    </rPh>
    <rPh sb="31" eb="33">
      <t>キボウ</t>
    </rPh>
    <rPh sb="38" eb="40">
      <t>キニュウ</t>
    </rPh>
    <phoneticPr fontId="3"/>
  </si>
  <si>
    <t>：</t>
    <phoneticPr fontId="8"/>
  </si>
  <si>
    <t>▼クラフト（選択してください）▼</t>
    <rPh sb="6" eb="8">
      <t>センタク</t>
    </rPh>
    <phoneticPr fontId="3"/>
  </si>
  <si>
    <t>.</t>
    <phoneticPr fontId="3"/>
  </si>
  <si>
    <t>水</t>
    <rPh sb="0" eb="1">
      <t>ミズ</t>
    </rPh>
    <phoneticPr fontId="8"/>
  </si>
  <si>
    <t>土</t>
    <rPh sb="0" eb="1">
      <t>ド</t>
    </rPh>
    <phoneticPr fontId="8"/>
  </si>
  <si>
    <t>減免区分</t>
    <rPh sb="0" eb="2">
      <t>ゲンメン</t>
    </rPh>
    <rPh sb="2" eb="4">
      <t>クブン</t>
    </rPh>
    <phoneticPr fontId="8"/>
  </si>
  <si>
    <t>準</t>
    <rPh sb="0" eb="1">
      <t>ジュン</t>
    </rPh>
    <phoneticPr fontId="8"/>
  </si>
  <si>
    <t>特</t>
    <rPh sb="0" eb="1">
      <t>トク</t>
    </rPh>
    <phoneticPr fontId="8"/>
  </si>
  <si>
    <t>身</t>
    <rPh sb="0" eb="1">
      <t>ミ</t>
    </rPh>
    <phoneticPr fontId="8"/>
  </si>
  <si>
    <t>療</t>
    <rPh sb="0" eb="1">
      <t>リョウ</t>
    </rPh>
    <phoneticPr fontId="8"/>
  </si>
  <si>
    <t>精</t>
    <rPh sb="0" eb="1">
      <t>セイ</t>
    </rPh>
    <phoneticPr fontId="8"/>
  </si>
  <si>
    <t>療</t>
    <rPh sb="0" eb="1">
      <t>リョウ</t>
    </rPh>
    <phoneticPr fontId="3"/>
  </si>
  <si>
    <t>精</t>
    <rPh sb="0" eb="1">
      <t>セイ</t>
    </rPh>
    <phoneticPr fontId="3"/>
  </si>
  <si>
    <t>介</t>
    <rPh sb="0" eb="1">
      <t>スケ</t>
    </rPh>
    <phoneticPr fontId="3"/>
  </si>
  <si>
    <t>準・特</t>
    <rPh sb="0" eb="1">
      <t>ジュン</t>
    </rPh>
    <rPh sb="2" eb="3">
      <t>トク</t>
    </rPh>
    <phoneticPr fontId="8"/>
  </si>
  <si>
    <t>準・身</t>
    <rPh sb="0" eb="1">
      <t>ジュン</t>
    </rPh>
    <rPh sb="2" eb="3">
      <t>ミ</t>
    </rPh>
    <phoneticPr fontId="8"/>
  </si>
  <si>
    <t>準・療</t>
    <rPh sb="0" eb="1">
      <t>ジュン</t>
    </rPh>
    <rPh sb="2" eb="3">
      <t>リョウ</t>
    </rPh>
    <phoneticPr fontId="8"/>
  </si>
  <si>
    <t>準・精</t>
    <rPh sb="0" eb="1">
      <t>ジュン</t>
    </rPh>
    <rPh sb="2" eb="3">
      <t>セイ</t>
    </rPh>
    <phoneticPr fontId="8"/>
  </si>
  <si>
    <t>特・身</t>
    <rPh sb="0" eb="1">
      <t>トク</t>
    </rPh>
    <rPh sb="2" eb="3">
      <t>ミ</t>
    </rPh>
    <phoneticPr fontId="8"/>
  </si>
  <si>
    <t>特・療</t>
    <rPh sb="0" eb="1">
      <t>トク</t>
    </rPh>
    <rPh sb="2" eb="3">
      <t>リョウ</t>
    </rPh>
    <phoneticPr fontId="8"/>
  </si>
  <si>
    <t>特・精</t>
    <rPh sb="0" eb="1">
      <t>トク</t>
    </rPh>
    <rPh sb="2" eb="3">
      <t>セイ</t>
    </rPh>
    <phoneticPr fontId="8"/>
  </si>
  <si>
    <t>身・療</t>
    <rPh sb="0" eb="1">
      <t>ミ</t>
    </rPh>
    <rPh sb="2" eb="3">
      <t>リョウ</t>
    </rPh>
    <phoneticPr fontId="8"/>
  </si>
  <si>
    <t>身・精</t>
    <rPh sb="0" eb="1">
      <t>ミ</t>
    </rPh>
    <rPh sb="2" eb="3">
      <t>セイ</t>
    </rPh>
    <phoneticPr fontId="8"/>
  </si>
  <si>
    <t>療・精</t>
    <rPh sb="0" eb="1">
      <t>リョウ</t>
    </rPh>
    <rPh sb="2" eb="3">
      <t>セイ</t>
    </rPh>
    <phoneticPr fontId="8"/>
  </si>
  <si>
    <t>準・特・身</t>
    <rPh sb="0" eb="1">
      <t>ジュン</t>
    </rPh>
    <rPh sb="2" eb="3">
      <t>トク</t>
    </rPh>
    <rPh sb="4" eb="5">
      <t>ミ</t>
    </rPh>
    <phoneticPr fontId="8"/>
  </si>
  <si>
    <t>準・特・療</t>
    <rPh sb="0" eb="1">
      <t>ジュン</t>
    </rPh>
    <rPh sb="2" eb="3">
      <t>トク</t>
    </rPh>
    <rPh sb="4" eb="5">
      <t>リョウ</t>
    </rPh>
    <phoneticPr fontId="8"/>
  </si>
  <si>
    <t>準・特・精</t>
    <rPh sb="0" eb="1">
      <t>ジュン</t>
    </rPh>
    <rPh sb="2" eb="3">
      <t>トク</t>
    </rPh>
    <rPh sb="4" eb="5">
      <t>セイ</t>
    </rPh>
    <phoneticPr fontId="8"/>
  </si>
  <si>
    <t>準・身・療</t>
    <rPh sb="0" eb="1">
      <t>ジュン</t>
    </rPh>
    <rPh sb="2" eb="3">
      <t>ミ</t>
    </rPh>
    <rPh sb="4" eb="5">
      <t>リョウ</t>
    </rPh>
    <phoneticPr fontId="8"/>
  </si>
  <si>
    <t>準・身・精</t>
    <rPh sb="0" eb="1">
      <t>ジュン</t>
    </rPh>
    <rPh sb="2" eb="3">
      <t>ミ</t>
    </rPh>
    <rPh sb="4" eb="5">
      <t>セイ</t>
    </rPh>
    <phoneticPr fontId="8"/>
  </si>
  <si>
    <t>準・療・精</t>
    <rPh sb="0" eb="1">
      <t>ジュン</t>
    </rPh>
    <rPh sb="2" eb="3">
      <t>リョウ</t>
    </rPh>
    <rPh sb="4" eb="5">
      <t>セイ</t>
    </rPh>
    <phoneticPr fontId="8"/>
  </si>
  <si>
    <t>特・身・療</t>
    <rPh sb="0" eb="1">
      <t>トク</t>
    </rPh>
    <rPh sb="2" eb="3">
      <t>ミ</t>
    </rPh>
    <rPh sb="4" eb="5">
      <t>リョウ</t>
    </rPh>
    <phoneticPr fontId="8"/>
  </si>
  <si>
    <t>特・身・精</t>
    <rPh sb="0" eb="1">
      <t>トク</t>
    </rPh>
    <rPh sb="2" eb="3">
      <t>ミ</t>
    </rPh>
    <rPh sb="4" eb="5">
      <t>セイ</t>
    </rPh>
    <phoneticPr fontId="8"/>
  </si>
  <si>
    <t>身・療・精</t>
    <rPh sb="0" eb="1">
      <t>ミ</t>
    </rPh>
    <rPh sb="2" eb="3">
      <t>リョウ</t>
    </rPh>
    <rPh sb="4" eb="5">
      <t>セイ</t>
    </rPh>
    <phoneticPr fontId="8"/>
  </si>
  <si>
    <t>減免区分</t>
    <rPh sb="0" eb="2">
      <t>ゲンメン</t>
    </rPh>
    <rPh sb="2" eb="4">
      <t>クブン</t>
    </rPh>
    <phoneticPr fontId="3"/>
  </si>
  <si>
    <t>料金区分</t>
    <rPh sb="0" eb="2">
      <t>リョウキン</t>
    </rPh>
    <rPh sb="2" eb="4">
      <t>クブン</t>
    </rPh>
    <phoneticPr fontId="3"/>
  </si>
  <si>
    <t>料金区分</t>
    <rPh sb="0" eb="2">
      <t>リョウキン</t>
    </rPh>
    <rPh sb="2" eb="4">
      <t>クブン</t>
    </rPh>
    <phoneticPr fontId="8"/>
  </si>
  <si>
    <t>一</t>
    <rPh sb="0" eb="1">
      <t>イッ</t>
    </rPh>
    <phoneticPr fontId="8"/>
  </si>
  <si>
    <t>引</t>
    <rPh sb="0" eb="1">
      <t>イン</t>
    </rPh>
    <phoneticPr fontId="8"/>
  </si>
  <si>
    <t>中</t>
    <rPh sb="0" eb="1">
      <t>チュウ</t>
    </rPh>
    <phoneticPr fontId="8"/>
  </si>
  <si>
    <t>小</t>
    <rPh sb="0" eb="1">
      <t>ショウ</t>
    </rPh>
    <phoneticPr fontId="8"/>
  </si>
  <si>
    <t>介添</t>
    <rPh sb="0" eb="1">
      <t>スケ</t>
    </rPh>
    <rPh sb="1" eb="2">
      <t>ゾ</t>
    </rPh>
    <phoneticPr fontId="8"/>
  </si>
  <si>
    <t>合計</t>
    <rPh sb="0" eb="2">
      <t>ゴウケイ</t>
    </rPh>
    <phoneticPr fontId="8"/>
  </si>
  <si>
    <t>小</t>
    <rPh sb="0" eb="1">
      <t>ショウ</t>
    </rPh>
    <phoneticPr fontId="3"/>
  </si>
  <si>
    <t>延べ日数</t>
    <rPh sb="0" eb="1">
      <t>ノ</t>
    </rPh>
    <rPh sb="2" eb="4">
      <t>ニッスウ</t>
    </rPh>
    <phoneticPr fontId="8"/>
  </si>
  <si>
    <t>減免対象</t>
    <rPh sb="0" eb="2">
      <t>ゲンメン</t>
    </rPh>
    <rPh sb="2" eb="4">
      <t>タイショウ</t>
    </rPh>
    <phoneticPr fontId="8"/>
  </si>
  <si>
    <t>特・療・精</t>
    <rPh sb="0" eb="1">
      <t>トク</t>
    </rPh>
    <rPh sb="2" eb="3">
      <t>リョウ</t>
    </rPh>
    <rPh sb="4" eb="5">
      <t>セイ</t>
    </rPh>
    <phoneticPr fontId="8"/>
  </si>
  <si>
    <t>入園料減免</t>
    <rPh sb="0" eb="3">
      <t>ニュウエンリョウ</t>
    </rPh>
    <rPh sb="3" eb="5">
      <t>ゲンメン</t>
    </rPh>
    <phoneticPr fontId="8"/>
  </si>
  <si>
    <t>2day券判定</t>
    <rPh sb="4" eb="5">
      <t>ケン</t>
    </rPh>
    <rPh sb="5" eb="7">
      <t>ハンテイ</t>
    </rPh>
    <phoneticPr fontId="8"/>
  </si>
  <si>
    <t>中学生</t>
  </si>
  <si>
    <t>引率者</t>
  </si>
  <si>
    <t>一般</t>
    <rPh sb="0" eb="2">
      <t>イッパン</t>
    </rPh>
    <phoneticPr fontId="8"/>
  </si>
  <si>
    <t>延日数</t>
    <rPh sb="0" eb="1">
      <t>ノ</t>
    </rPh>
    <rPh sb="1" eb="3">
      <t>ニッスウ</t>
    </rPh>
    <phoneticPr fontId="8"/>
  </si>
  <si>
    <t>減免者・２DAY除く入園料計</t>
    <rPh sb="0" eb="2">
      <t>ゲンメン</t>
    </rPh>
    <rPh sb="2" eb="3">
      <t>シャ</t>
    </rPh>
    <rPh sb="8" eb="9">
      <t>ノゾ</t>
    </rPh>
    <rPh sb="10" eb="13">
      <t>ニュウエンリョウ</t>
    </rPh>
    <rPh sb="13" eb="14">
      <t>ケイ</t>
    </rPh>
    <phoneticPr fontId="8"/>
  </si>
  <si>
    <t>入園料　小計</t>
    <rPh sb="0" eb="3">
      <t>ニュウエンリョウ</t>
    </rPh>
    <rPh sb="4" eb="6">
      <t>ショウケイ</t>
    </rPh>
    <phoneticPr fontId="3"/>
  </si>
  <si>
    <t>　施設使用料　小計（円）</t>
    <rPh sb="1" eb="3">
      <t>シセツ</t>
    </rPh>
    <rPh sb="3" eb="5">
      <t>シヨウ</t>
    </rPh>
    <rPh sb="5" eb="6">
      <t>リョウ</t>
    </rPh>
    <rPh sb="7" eb="9">
      <t>ショウケイ</t>
    </rPh>
    <rPh sb="10" eb="11">
      <t>エン</t>
    </rPh>
    <phoneticPr fontId="3"/>
  </si>
  <si>
    <t>カレーライス</t>
    <phoneticPr fontId="3"/>
  </si>
  <si>
    <t>牛丼</t>
    <rPh sb="0" eb="2">
      <t>ギュウドン</t>
    </rPh>
    <phoneticPr fontId="3"/>
  </si>
  <si>
    <t>豚汁</t>
    <rPh sb="0" eb="1">
      <t>トン</t>
    </rPh>
    <rPh sb="1" eb="2">
      <t>ジル</t>
    </rPh>
    <phoneticPr fontId="3"/>
  </si>
  <si>
    <t>ホットドッグ</t>
    <phoneticPr fontId="3"/>
  </si>
  <si>
    <t>焼きそば</t>
    <rPh sb="0" eb="1">
      <t>ヤ</t>
    </rPh>
    <phoneticPr fontId="3"/>
  </si>
  <si>
    <t>薪</t>
    <rPh sb="0" eb="1">
      <t>マキ</t>
    </rPh>
    <phoneticPr fontId="3"/>
  </si>
  <si>
    <t>炭</t>
    <rPh sb="0" eb="1">
      <t>スミ</t>
    </rPh>
    <phoneticPr fontId="3"/>
  </si>
  <si>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</si>
  <si>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</si>
  <si>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</si>
  <si>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</si>
  <si>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</si>
  <si>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</si>
  <si>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</si>
  <si>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</si>
  <si>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</si>
  <si>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</si>
  <si>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</si>
  <si>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</si>
  <si>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</si>
  <si>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</si>
  <si>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</si>
  <si>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</si>
  <si>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</si>
  <si>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</si>
  <si>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</si>
  <si>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</si>
  <si>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</si>
  <si>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</si>
  <si>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</si>
  <si>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</si>
  <si>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</si>
  <si>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</si>
  <si>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</si>
  <si>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</si>
  <si>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</si>
  <si>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</si>
  <si>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</si>
  <si>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</si>
  <si>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</si>
  <si>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</si>
  <si>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</si>
  <si>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</si>
  <si>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</si>
  <si>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</si>
  <si>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</si>
  <si>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</si>
  <si>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</si>
  <si>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</si>
  <si>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</si>
  <si>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</si>
  <si>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</si>
  <si>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</si>
  <si>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</si>
  <si>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</si>
  <si>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</si>
  <si>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</si>
  <si>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</si>
  <si>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</si>
  <si>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</si>
  <si>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</si>
  <si>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</si>
  <si>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</si>
  <si>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</si>
  <si>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</si>
  <si>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</si>
  <si>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</si>
  <si>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</si>
  <si>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</si>
  <si>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</si>
  <si>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</si>
  <si>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</si>
  <si>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</si>
  <si>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</si>
  <si>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</si>
  <si>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</si>
  <si>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</si>
  <si>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</si>
  <si>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</si>
  <si>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</si>
  <si>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</si>
  <si>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</si>
  <si>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</si>
  <si>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</si>
  <si>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</si>
  <si>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</si>
  <si>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</si>
  <si>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</si>
  <si>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</si>
  <si>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</si>
  <si>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</si>
  <si>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</si>
  <si>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</si>
  <si>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</si>
  <si>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</si>
  <si>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</si>
  <si>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</si>
  <si>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</si>
  <si>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</si>
  <si>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</si>
  <si>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</si>
  <si>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</si>
  <si>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</si>
  <si>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</si>
  <si>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</si>
  <si>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</si>
  <si>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</si>
  <si>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</si>
  <si>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</si>
  <si>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</si>
  <si>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</si>
  <si>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</si>
  <si>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</si>
  <si>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</si>
  <si>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</si>
  <si>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</si>
  <si>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</si>
  <si>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</si>
  <si>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</si>
  <si>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</si>
  <si>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</si>
  <si>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</si>
  <si>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</si>
  <si>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</si>
  <si>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</si>
  <si>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</si>
  <si>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</si>
  <si>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</si>
  <si>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</si>
  <si>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</si>
  <si>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</si>
  <si>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</si>
  <si>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</si>
  <si>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</si>
  <si>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</si>
  <si>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</si>
  <si>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</si>
  <si>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</si>
  <si>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</si>
  <si>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</si>
  <si>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</si>
  <si>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</si>
  <si>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</si>
  <si>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</si>
  <si>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</si>
  <si>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</si>
  <si>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</si>
  <si>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</si>
  <si>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</si>
  <si>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</si>
  <si>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</si>
  <si>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</si>
  <si>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</si>
  <si>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</si>
  <si>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</si>
  <si>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</si>
  <si>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</si>
  <si>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</si>
  <si>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</si>
  <si>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</si>
  <si>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</si>
  <si>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</si>
  <si>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</si>
  <si>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</si>
  <si>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</si>
  <si>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</si>
  <si>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</si>
  <si>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</si>
  <si>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</si>
  <si>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</si>
  <si>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</si>
  <si>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</si>
  <si>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</si>
  <si>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</si>
  <si>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</si>
  <si>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</si>
  <si>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</si>
  <si>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</si>
  <si>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</si>
  <si>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</si>
  <si>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</si>
  <si>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</si>
  <si>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</si>
  <si>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</si>
  <si>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</si>
  <si>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</si>
  <si>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</si>
  <si>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</si>
  <si>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</si>
  <si>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</si>
  <si>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</si>
  <si>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</si>
  <si>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</si>
  <si>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</si>
  <si>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</si>
  <si>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</si>
  <si>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</si>
  <si>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</si>
  <si>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</si>
  <si>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</si>
  <si>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</si>
  <si>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</si>
  <si>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</si>
  <si>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</si>
  <si>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</si>
  <si>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</si>
  <si>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</si>
  <si>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</si>
  <si>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</si>
  <si>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</si>
  <si>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</si>
  <si>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</si>
  <si>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</si>
  <si>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</si>
  <si>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</si>
  <si>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</si>
  <si>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</si>
  <si>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</si>
  <si>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</si>
  <si>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</si>
  <si>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</si>
  <si>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</si>
  <si>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</si>
  <si>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</si>
  <si>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</si>
  <si>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</si>
  <si>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</si>
  <si>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</si>
  <si>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</si>
  <si>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</si>
  <si>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</si>
  <si>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</si>
  <si>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</si>
  <si>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</si>
  <si>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</si>
  <si>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</si>
  <si>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</si>
  <si>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</si>
  <si>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</si>
  <si>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</si>
  <si>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</si>
  <si>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</si>
  <si>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</si>
  <si>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</si>
  <si>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</si>
  <si>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</si>
  <si>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</si>
  <si>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</si>
  <si>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</si>
  <si>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</si>
  <si>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</si>
  <si>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</si>
  <si>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</si>
  <si>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</si>
  <si>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</si>
  <si>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</si>
  <si>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</si>
  <si>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</si>
  <si>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</si>
  <si>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</si>
  <si>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</si>
  <si>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</si>
  <si>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</si>
  <si>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</si>
  <si>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</si>
  <si>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</si>
  <si>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</si>
  <si>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</si>
  <si>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</si>
  <si>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</si>
  <si>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</si>
  <si>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</si>
  <si>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</si>
  <si>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</si>
  <si>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</si>
  <si>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</si>
  <si>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</si>
  <si>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</si>
  <si>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</si>
  <si>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</si>
  <si>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</si>
  <si>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</si>
  <si>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</si>
  <si>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</si>
  <si>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</si>
  <si>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</si>
  <si>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</si>
  <si>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</si>
  <si>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</si>
  <si>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</si>
  <si>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</si>
  <si>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</si>
  <si>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</si>
  <si>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</si>
  <si>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</si>
  <si>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</si>
  <si>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</si>
  <si>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</si>
  <si>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</si>
  <si>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</si>
  <si>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</si>
  <si>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</si>
  <si>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</si>
  <si>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</si>
  <si>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</si>
  <si>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</si>
  <si>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</si>
  <si>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</si>
  <si>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</si>
  <si>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</si>
  <si>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</si>
  <si>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</si>
  <si>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</si>
  <si>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</si>
  <si>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</si>
  <si>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</si>
  <si>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</si>
  <si>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</si>
  <si>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</si>
  <si>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</si>
  <si>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</si>
  <si>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</si>
  <si>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</si>
  <si>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</si>
  <si>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</si>
  <si>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</si>
  <si>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</si>
  <si>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</si>
  <si>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</si>
  <si>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</si>
  <si>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</si>
  <si>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</si>
  <si>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</si>
  <si>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</si>
  <si>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</si>
  <si>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</si>
  <si>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</si>
  <si>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</si>
  <si>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</si>
  <si>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</si>
  <si>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</si>
  <si>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</si>
  <si>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</si>
  <si>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</si>
  <si>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</si>
  <si>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</si>
  <si>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</si>
  <si>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</si>
  <si>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</si>
  <si>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</si>
  <si>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</si>
  <si>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</si>
  <si>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</si>
  <si>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</si>
  <si>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</si>
  <si>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</si>
  <si>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</si>
  <si>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</si>
  <si>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</si>
  <si>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</si>
  <si>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</si>
  <si>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</si>
  <si>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</si>
  <si>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</si>
  <si>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</si>
  <si>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</si>
  <si>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</si>
  <si>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</si>
  <si>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</si>
  <si>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</si>
  <si>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</si>
  <si>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</si>
  <si>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</si>
  <si>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</si>
  <si>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</si>
  <si>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</si>
  <si>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</si>
  <si>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</si>
  <si>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</si>
  <si>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</si>
  <si>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</si>
  <si>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</si>
  <si>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</si>
  <si>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</si>
  <si>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</si>
  <si>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</si>
  <si>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</si>
  <si>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</si>
  <si>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</si>
  <si>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</si>
  <si>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</si>
  <si>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</si>
  <si>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</si>
  <si>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</si>
  <si>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</si>
  <si>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</si>
  <si>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</si>
  <si>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</si>
  <si>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</si>
  <si>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</si>
  <si>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</si>
  <si>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</si>
  <si>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</si>
  <si>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</si>
  <si>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</si>
  <si>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</si>
  <si>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</si>
  <si>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</si>
  <si>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</si>
  <si>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</si>
  <si>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</si>
  <si>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</si>
  <si>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</si>
  <si>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</si>
  <si>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</si>
  <si>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</si>
  <si>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</si>
  <si>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</si>
  <si>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</si>
  <si>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</si>
  <si>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</si>
  <si>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</si>
  <si>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</si>
  <si>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</si>
  <si>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</si>
  <si>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</si>
  <si>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</si>
  <si>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</si>
  <si>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</si>
  <si>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</si>
  <si>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</si>
  <si>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</si>
  <si>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</si>
  <si>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</si>
  <si>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</si>
  <si>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</si>
  <si>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</si>
  <si>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</si>
  <si>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</si>
  <si>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</si>
  <si>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</si>
  <si>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</si>
  <si>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</si>
  <si>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</si>
  <si>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</si>
  <si>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</si>
  <si>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</si>
  <si>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</si>
  <si>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</si>
  <si>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</si>
  <si>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</si>
  <si>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</si>
  <si>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</si>
  <si>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</si>
  <si>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</si>
  <si>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</si>
  <si>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</si>
  <si>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</si>
  <si>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</si>
  <si>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</si>
  <si>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</si>
  <si>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</si>
  <si>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</si>
  <si>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</si>
  <si>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</si>
  <si>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</si>
  <si>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</si>
  <si>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</si>
  <si>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</si>
  <si>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</si>
  <si>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</si>
  <si>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</si>
  <si>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</si>
  <si>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</si>
  <si>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</si>
  <si>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</si>
  <si>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</si>
  <si>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</si>
  <si>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</si>
  <si>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</si>
  <si>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</si>
  <si>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</si>
  <si>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</si>
  <si>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</si>
  <si>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</si>
  <si>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</si>
  <si>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</si>
  <si>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</si>
  <si>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</si>
  <si>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</si>
  <si>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</si>
  <si>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</si>
  <si>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</si>
  <si>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</si>
  <si>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</si>
  <si>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</si>
  <si>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</si>
  <si>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</si>
  <si>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</si>
  <si>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</si>
  <si>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</si>
  <si>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</si>
  <si>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</si>
  <si>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</si>
  <si>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</si>
  <si>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</si>
  <si>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</si>
  <si>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</si>
  <si>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</si>
  <si>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</si>
  <si>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</si>
  <si>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</si>
  <si>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</si>
  <si>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</si>
  <si>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</si>
  <si>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</si>
  <si>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</si>
  <si>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</si>
  <si>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</si>
  <si>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</si>
  <si>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</si>
  <si>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</si>
  <si>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</si>
  <si>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</si>
  <si>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</si>
  <si>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</si>
  <si>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</si>
  <si>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</si>
  <si>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</si>
  <si>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</si>
  <si>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</si>
  <si>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</si>
  <si>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</si>
  <si>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</si>
  <si>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</si>
  <si>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</si>
  <si>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</si>
  <si>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</si>
  <si>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</si>
  <si>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</si>
  <si>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</si>
  <si>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</si>
  <si>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</si>
  <si>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</si>
  <si>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</si>
  <si>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</si>
  <si>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</si>
  <si>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</si>
  <si>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</si>
  <si>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</si>
  <si>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</si>
  <si>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</si>
  <si>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</si>
  <si>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</si>
  <si>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</si>
  <si>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</si>
  <si>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</si>
  <si>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</si>
  <si>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</si>
  <si>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</si>
  <si>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</si>
  <si>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</si>
  <si>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</si>
  <si>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</si>
  <si>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</si>
  <si>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</si>
  <si>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</si>
  <si>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</si>
  <si>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</si>
  <si>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</si>
  <si>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</si>
  <si>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</si>
  <si>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</si>
  <si>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</si>
  <si>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</si>
  <si>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</si>
  <si>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</si>
  <si>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</si>
  <si>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</si>
  <si>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</si>
  <si>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</si>
  <si>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</si>
  <si>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</si>
  <si>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</si>
  <si>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</si>
  <si>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</si>
  <si>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</si>
  <si>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</si>
  <si>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</si>
  <si>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</si>
  <si>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</si>
  <si>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</si>
  <si>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</si>
  <si>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</si>
  <si>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</si>
  <si>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</si>
  <si>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</si>
  <si>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</si>
  <si>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</si>
  <si>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</si>
  <si>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</si>
  <si>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</si>
  <si>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</si>
  <si>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</si>
  <si>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</si>
  <si>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</si>
  <si>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</si>
  <si>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</si>
  <si>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</si>
  <si>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</si>
  <si>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</si>
  <si>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</si>
  <si>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</si>
  <si>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</si>
  <si>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</si>
  <si>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</si>
  <si>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</si>
  <si>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</si>
  <si>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</si>
  <si>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</si>
  <si>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</si>
  <si>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</si>
  <si>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</si>
  <si>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</si>
  <si>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</si>
  <si>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</si>
  <si>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</si>
  <si>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</si>
  <si>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</si>
  <si>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</si>
  <si>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</si>
  <si>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</si>
  <si>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</si>
  <si>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</si>
  <si>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</si>
  <si>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</si>
  <si>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</si>
  <si>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</si>
  <si>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</si>
  <si>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</si>
  <si>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</si>
  <si>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</si>
  <si>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</si>
  <si>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</si>
  <si>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</si>
  <si>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</si>
  <si>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</si>
  <si>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</si>
  <si>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</si>
  <si>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</si>
  <si>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</si>
  <si>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</si>
  <si>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</si>
  <si>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</si>
  <si>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</si>
  <si>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</si>
  <si>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</si>
  <si>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</si>
  <si>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</si>
  <si>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</si>
  <si>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</si>
  <si>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</si>
  <si>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</si>
  <si>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</si>
  <si>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</si>
  <si>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</si>
  <si>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</si>
  <si>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</si>
  <si>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</si>
  <si>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</si>
  <si>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</si>
  <si>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</si>
  <si>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</si>
  <si>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</si>
  <si>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</si>
  <si>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</si>
  <si>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</si>
  <si>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</si>
  <si>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</si>
  <si>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</si>
  <si>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</si>
  <si>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</si>
  <si>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</si>
  <si>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</si>
  <si>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</si>
  <si>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</si>
  <si>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</si>
  <si>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</si>
  <si>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</si>
  <si>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</si>
  <si>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</si>
  <si>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</si>
  <si>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</si>
  <si>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</si>
  <si>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</si>
  <si>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</si>
  <si>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</si>
  <si>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</si>
  <si>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</si>
  <si>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</si>
  <si>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</si>
  <si>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</si>
  <si>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</si>
  <si>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</si>
  <si>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</si>
  <si>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</si>
  <si>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</si>
  <si>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</si>
  <si>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</si>
  <si>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</si>
  <si>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</si>
  <si>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</si>
  <si>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</si>
  <si>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</si>
  <si>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</si>
  <si>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</si>
  <si>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</si>
  <si>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</si>
  <si>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</si>
  <si>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</si>
  <si>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</si>
  <si>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</si>
  <si>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</si>
  <si>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</si>
  <si>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</si>
  <si>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</si>
  <si>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</si>
  <si>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</si>
  <si>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</si>
  <si>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</si>
  <si>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</si>
  <si>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</si>
  <si>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</si>
  <si>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</si>
  <si>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</si>
  <si>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</si>
  <si>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</si>
  <si>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</si>
  <si>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</si>
  <si>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</si>
  <si>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</si>
  <si>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</si>
  <si>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</si>
  <si>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</si>
  <si>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</si>
  <si>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</si>
  <si>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</si>
  <si>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</si>
  <si>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</si>
  <si>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</si>
  <si>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</si>
  <si>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</si>
  <si>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8"/>
  </si>
  <si>
    <t>常盤</t>
    <phoneticPr fontId="8"/>
  </si>
  <si>
    <t>北九条東</t>
    <phoneticPr fontId="8"/>
  </si>
  <si>
    <t>北八条東</t>
    <phoneticPr fontId="8"/>
  </si>
  <si>
    <t>北八条東</t>
    <phoneticPr fontId="8"/>
  </si>
  <si>
    <t>北七条東</t>
    <phoneticPr fontId="8"/>
  </si>
  <si>
    <t>北六条東</t>
    <phoneticPr fontId="8"/>
  </si>
  <si>
    <t>北六条東</t>
    <phoneticPr fontId="8"/>
  </si>
  <si>
    <t>北五条東</t>
    <phoneticPr fontId="8"/>
  </si>
  <si>
    <t>北四条東</t>
    <phoneticPr fontId="8"/>
  </si>
  <si>
    <t>北二十条西</t>
    <phoneticPr fontId="8"/>
  </si>
  <si>
    <t>北二十条西</t>
    <phoneticPr fontId="8"/>
  </si>
  <si>
    <t>北十九条西</t>
    <phoneticPr fontId="8"/>
  </si>
  <si>
    <t>北十九条西</t>
    <phoneticPr fontId="8"/>
  </si>
  <si>
    <t>北十八条西</t>
    <phoneticPr fontId="8"/>
  </si>
  <si>
    <t>北十八条西</t>
    <phoneticPr fontId="8"/>
  </si>
  <si>
    <t>北十七条西</t>
    <phoneticPr fontId="8"/>
  </si>
  <si>
    <t>北十七条西</t>
    <phoneticPr fontId="8"/>
  </si>
  <si>
    <t>北十六条西</t>
    <phoneticPr fontId="8"/>
  </si>
  <si>
    <t>北十条西</t>
    <phoneticPr fontId="8"/>
  </si>
  <si>
    <t>北十条西</t>
    <phoneticPr fontId="8"/>
  </si>
  <si>
    <t>北十一条西</t>
    <phoneticPr fontId="8"/>
  </si>
  <si>
    <t>北十二条西</t>
    <phoneticPr fontId="8"/>
  </si>
  <si>
    <t>北十二条西</t>
    <phoneticPr fontId="8"/>
  </si>
  <si>
    <t>北十三条西</t>
    <phoneticPr fontId="8"/>
  </si>
  <si>
    <t>北十四条西</t>
    <phoneticPr fontId="8"/>
  </si>
  <si>
    <t>北十四条西</t>
    <phoneticPr fontId="8"/>
  </si>
  <si>
    <t>北十五条西</t>
    <phoneticPr fontId="8"/>
  </si>
  <si>
    <t>南三十条西</t>
    <phoneticPr fontId="8"/>
  </si>
  <si>
    <t>南三条西</t>
    <phoneticPr fontId="8"/>
  </si>
  <si>
    <t>南二条西</t>
    <phoneticPr fontId="8"/>
  </si>
  <si>
    <t>南一条西</t>
    <phoneticPr fontId="8"/>
  </si>
  <si>
    <t>北六条西</t>
    <phoneticPr fontId="8"/>
  </si>
  <si>
    <t>北五条西</t>
    <phoneticPr fontId="8"/>
  </si>
  <si>
    <t>北四条西</t>
    <phoneticPr fontId="8"/>
  </si>
  <si>
    <t>北三条西</t>
    <phoneticPr fontId="8"/>
  </si>
  <si>
    <t>北三条西</t>
    <phoneticPr fontId="8"/>
  </si>
  <si>
    <t>北二条西</t>
    <phoneticPr fontId="8"/>
  </si>
  <si>
    <t>北一条西</t>
    <phoneticPr fontId="8"/>
  </si>
  <si>
    <t>北一条西</t>
    <phoneticPr fontId="8"/>
  </si>
  <si>
    <t>大通西</t>
    <phoneticPr fontId="8"/>
  </si>
  <si>
    <t>大通西</t>
    <phoneticPr fontId="8"/>
  </si>
  <si>
    <t>藤野</t>
    <phoneticPr fontId="8"/>
  </si>
  <si>
    <t>藤野</t>
    <phoneticPr fontId="8"/>
  </si>
  <si>
    <t>真駒内</t>
    <phoneticPr fontId="8"/>
  </si>
  <si>
    <t>真駒内</t>
    <phoneticPr fontId="8"/>
  </si>
  <si>
    <t>簾舞</t>
    <phoneticPr fontId="8"/>
  </si>
  <si>
    <t>郵便番号</t>
    <rPh sb="0" eb="4">
      <t>ユウビンバンゴウ</t>
    </rPh>
    <phoneticPr fontId="8"/>
  </si>
  <si>
    <t>住所①</t>
    <rPh sb="0" eb="2">
      <t>ジュウショ</t>
    </rPh>
    <phoneticPr fontId="8"/>
  </si>
  <si>
    <t>住所②</t>
    <rPh sb="0" eb="2">
      <t>ジュウショ</t>
    </rPh>
    <phoneticPr fontId="8"/>
  </si>
  <si>
    <t>住所</t>
    <rPh sb="0" eb="2">
      <t>ジュウショ</t>
    </rPh>
    <phoneticPr fontId="8"/>
  </si>
  <si>
    <t>①</t>
    <phoneticPr fontId="8"/>
  </si>
  <si>
    <t>②
丁目・番地</t>
    <rPh sb="2" eb="3">
      <t>チョウ</t>
    </rPh>
    <rPh sb="3" eb="4">
      <t>メ</t>
    </rPh>
    <rPh sb="5" eb="7">
      <t>バンチ</t>
    </rPh>
    <phoneticPr fontId="8"/>
  </si>
  <si>
    <t>欠席</t>
    <rPh sb="0" eb="2">
      <t>ケッセキ</t>
    </rPh>
    <phoneticPr fontId="8"/>
  </si>
  <si>
    <t>No.</t>
    <phoneticPr fontId="8"/>
  </si>
  <si>
    <t>宿泊</t>
    <rPh sb="0" eb="2">
      <t>シュクハク</t>
    </rPh>
    <phoneticPr fontId="8"/>
  </si>
  <si>
    <t>日帰り</t>
    <rPh sb="0" eb="2">
      <t>ヒガエ</t>
    </rPh>
    <phoneticPr fontId="8"/>
  </si>
  <si>
    <t>学校名</t>
    <rPh sb="0" eb="2">
      <t>ガッコウ</t>
    </rPh>
    <rPh sb="2" eb="3">
      <t>ガッコウメイ</t>
    </rPh>
    <phoneticPr fontId="23"/>
  </si>
  <si>
    <t>領収・請求書６</t>
    <rPh sb="0" eb="2">
      <t>リョウシュウ</t>
    </rPh>
    <rPh sb="3" eb="6">
      <t>セイキュウショ</t>
    </rPh>
    <phoneticPr fontId="23"/>
  </si>
  <si>
    <t>領収・請求書７</t>
    <rPh sb="0" eb="2">
      <t>リョウシュウ</t>
    </rPh>
    <rPh sb="3" eb="6">
      <t>セイキュウショ</t>
    </rPh>
    <phoneticPr fontId="23"/>
  </si>
  <si>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3"/>
  </si>
  <si>
    <t>領　収
請求書３</t>
    <rPh sb="0" eb="1">
      <t>リョウ</t>
    </rPh>
    <rPh sb="2" eb="3">
      <t>オサム</t>
    </rPh>
    <rPh sb="4" eb="7">
      <t>セイキュウショ</t>
    </rPh>
    <phoneticPr fontId="3"/>
  </si>
  <si>
    <t>領   収
請求書２</t>
    <rPh sb="0" eb="1">
      <t>リョウ</t>
    </rPh>
    <rPh sb="4" eb="5">
      <t>オサム</t>
    </rPh>
    <rPh sb="6" eb="9">
      <t>セイキュウショ</t>
    </rPh>
    <phoneticPr fontId="23"/>
  </si>
  <si>
    <t>領   収
請求書１</t>
    <rPh sb="0" eb="1">
      <t>リョウ</t>
    </rPh>
    <rPh sb="4" eb="5">
      <t>オサム</t>
    </rPh>
    <rPh sb="6" eb="8">
      <t>セイキュウ</t>
    </rPh>
    <rPh sb="8" eb="9">
      <t>ショ</t>
    </rPh>
    <phoneticPr fontId="23"/>
  </si>
  <si>
    <t>領　収
請求書５</t>
    <rPh sb="0" eb="1">
      <t>リョウ</t>
    </rPh>
    <rPh sb="2" eb="3">
      <t>オサム</t>
    </rPh>
    <rPh sb="4" eb="7">
      <t>セイキュウショ</t>
    </rPh>
    <phoneticPr fontId="3"/>
  </si>
  <si>
    <t>領   収
請求書６</t>
    <rPh sb="0" eb="1">
      <t>リョウ</t>
    </rPh>
    <rPh sb="4" eb="5">
      <t>オサム</t>
    </rPh>
    <rPh sb="6" eb="9">
      <t>セイキュウショ</t>
    </rPh>
    <phoneticPr fontId="23"/>
  </si>
  <si>
    <t>領   収
請求書７</t>
    <rPh sb="0" eb="1">
      <t>リョウ</t>
    </rPh>
    <rPh sb="4" eb="5">
      <t>オサム</t>
    </rPh>
    <rPh sb="6" eb="9">
      <t>セイキュウショ</t>
    </rPh>
    <phoneticPr fontId="23"/>
  </si>
  <si>
    <t>人　数</t>
    <rPh sb="0" eb="1">
      <t>ヒト</t>
    </rPh>
    <rPh sb="2" eb="3">
      <t>スウ</t>
    </rPh>
    <phoneticPr fontId="3"/>
  </si>
  <si>
    <t>2day一般
（入園料用）</t>
    <rPh sb="4" eb="6">
      <t>イッパン</t>
    </rPh>
    <rPh sb="8" eb="10">
      <t>ニュウエン</t>
    </rPh>
    <rPh sb="10" eb="11">
      <t>リョウ</t>
    </rPh>
    <rPh sb="11" eb="12">
      <t>ヨウ</t>
    </rPh>
    <phoneticPr fontId="8"/>
  </si>
  <si>
    <t>2day一般
（施設使用料用）</t>
    <rPh sb="4" eb="6">
      <t>イッパン</t>
    </rPh>
    <rPh sb="8" eb="10">
      <t>シセツ</t>
    </rPh>
    <rPh sb="10" eb="12">
      <t>シヨウ</t>
    </rPh>
    <rPh sb="12" eb="13">
      <t>リョウ</t>
    </rPh>
    <rPh sb="13" eb="14">
      <t>ヨウ</t>
    </rPh>
    <phoneticPr fontId="8"/>
  </si>
  <si>
    <t>領収
請求書１</t>
    <rPh sb="0" eb="1">
      <t>リョウ</t>
    </rPh>
    <rPh sb="1" eb="2">
      <t>オサム</t>
    </rPh>
    <rPh sb="3" eb="5">
      <t>セイキュウ</t>
    </rPh>
    <rPh sb="5" eb="6">
      <t>ショ</t>
    </rPh>
    <phoneticPr fontId="23"/>
  </si>
  <si>
    <t>領収
請求書２</t>
    <rPh sb="0" eb="1">
      <t>リョウ</t>
    </rPh>
    <rPh sb="1" eb="2">
      <t>オサム</t>
    </rPh>
    <rPh sb="3" eb="5">
      <t>セイキュウ</t>
    </rPh>
    <rPh sb="5" eb="6">
      <t>ショ</t>
    </rPh>
    <phoneticPr fontId="23"/>
  </si>
  <si>
    <t>領収
請求書３</t>
    <rPh sb="0" eb="1">
      <t>リョウ</t>
    </rPh>
    <rPh sb="1" eb="2">
      <t>オサム</t>
    </rPh>
    <rPh sb="3" eb="5">
      <t>セイキュウ</t>
    </rPh>
    <rPh sb="5" eb="6">
      <t>ショ</t>
    </rPh>
    <phoneticPr fontId="23"/>
  </si>
  <si>
    <t>領収
請求書４</t>
    <rPh sb="0" eb="1">
      <t>リョウ</t>
    </rPh>
    <rPh sb="1" eb="2">
      <t>オサム</t>
    </rPh>
    <rPh sb="3" eb="5">
      <t>セイキュウ</t>
    </rPh>
    <rPh sb="5" eb="6">
      <t>ショ</t>
    </rPh>
    <phoneticPr fontId="23"/>
  </si>
  <si>
    <t>食事代　小計</t>
    <rPh sb="0" eb="3">
      <t>ショクジダイ</t>
    </rPh>
    <rPh sb="4" eb="6">
      <t>ショウケイ</t>
    </rPh>
    <phoneticPr fontId="3"/>
  </si>
  <si>
    <t>【当日現金払い】のみ</t>
    <phoneticPr fontId="23"/>
  </si>
  <si>
    <t>その他料金　小計</t>
    <rPh sb="2" eb="3">
      <t>タ</t>
    </rPh>
    <rPh sb="3" eb="5">
      <t>リョウキン</t>
    </rPh>
    <rPh sb="6" eb="8">
      <t>ショウケイ</t>
    </rPh>
    <phoneticPr fontId="3"/>
  </si>
  <si>
    <t>2day一般
介添</t>
    <rPh sb="4" eb="6">
      <t>イッパン</t>
    </rPh>
    <rPh sb="7" eb="9">
      <t>カイゾエ</t>
    </rPh>
    <phoneticPr fontId="8"/>
  </si>
  <si>
    <t>施設使用料日帰合計延日数</t>
    <rPh sb="0" eb="2">
      <t>シセツ</t>
    </rPh>
    <rPh sb="2" eb="4">
      <t>シヨウ</t>
    </rPh>
    <rPh sb="4" eb="5">
      <t>リョウ</t>
    </rPh>
    <rPh sb="5" eb="7">
      <t>ヒガエ</t>
    </rPh>
    <rPh sb="7" eb="9">
      <t>ゴウケイ</t>
    </rPh>
    <rPh sb="9" eb="10">
      <t>ノ</t>
    </rPh>
    <rPh sb="10" eb="12">
      <t>ニッスウ</t>
    </rPh>
    <phoneticPr fontId="3"/>
  </si>
  <si>
    <t>施設使用料宿泊合計延日数</t>
    <rPh sb="0" eb="2">
      <t>シセツ</t>
    </rPh>
    <rPh sb="2" eb="4">
      <t>シヨウ</t>
    </rPh>
    <rPh sb="4" eb="5">
      <t>リョウ</t>
    </rPh>
    <rPh sb="5" eb="7">
      <t>シュクハク</t>
    </rPh>
    <rPh sb="7" eb="9">
      <t>ゴウケイ</t>
    </rPh>
    <rPh sb="9" eb="10">
      <t>ノ</t>
    </rPh>
    <rPh sb="10" eb="12">
      <t>ニッスウ</t>
    </rPh>
    <phoneticPr fontId="8"/>
  </si>
  <si>
    <t>札幌市青少年山の家　【夏季シーズン　人数報告用紙】</t>
    <rPh sb="0" eb="3">
      <t>サッポロシ</t>
    </rPh>
    <rPh sb="3" eb="7">
      <t>セイショウネンヤマ</t>
    </rPh>
    <rPh sb="8" eb="9">
      <t>イエ</t>
    </rPh>
    <rPh sb="11" eb="13">
      <t>カキ</t>
    </rPh>
    <rPh sb="18" eb="22">
      <t>ニンズウホウコク</t>
    </rPh>
    <rPh sb="22" eb="24">
      <t>ヨウシ</t>
    </rPh>
    <phoneticPr fontId="23"/>
  </si>
  <si>
    <t>領収
請求書５</t>
    <rPh sb="0" eb="1">
      <t>リョウ</t>
    </rPh>
    <rPh sb="1" eb="2">
      <t>オサム</t>
    </rPh>
    <rPh sb="3" eb="5">
      <t>セイキュウ</t>
    </rPh>
    <rPh sb="5" eb="6">
      <t>ショ</t>
    </rPh>
    <phoneticPr fontId="23"/>
  </si>
  <si>
    <t>領収
請求書６</t>
    <phoneticPr fontId="3"/>
  </si>
  <si>
    <t>領収
請求書７</t>
    <phoneticPr fontId="3"/>
  </si>
  <si>
    <t>人　　数</t>
    <phoneticPr fontId="3"/>
  </si>
  <si>
    <t>総合計　①　※クラフト無し</t>
    <rPh sb="0" eb="1">
      <t>ソウ</t>
    </rPh>
    <rPh sb="1" eb="2">
      <t>ゴウ</t>
    </rPh>
    <rPh sb="11" eb="12">
      <t>ナ</t>
    </rPh>
    <phoneticPr fontId="3"/>
  </si>
  <si>
    <t>総合計①-入園料</t>
    <rPh sb="0" eb="1">
      <t>ソウ</t>
    </rPh>
    <rPh sb="1" eb="2">
      <t>ゴウ</t>
    </rPh>
    <rPh sb="5" eb="7">
      <t>ニュウエン</t>
    </rPh>
    <rPh sb="7" eb="8">
      <t>リョウ</t>
    </rPh>
    <phoneticPr fontId="3"/>
  </si>
  <si>
    <t>総合計②-入園料</t>
    <rPh sb="0" eb="1">
      <t>ソウ</t>
    </rPh>
    <rPh sb="1" eb="2">
      <t>ゴウ</t>
    </rPh>
    <rPh sb="5" eb="8">
      <t>ニュウエンリョウ</t>
    </rPh>
    <phoneticPr fontId="3"/>
  </si>
  <si>
    <t>総合計　①'　※クラフト有り</t>
    <rPh sb="0" eb="1">
      <t>ソウ</t>
    </rPh>
    <rPh sb="1" eb="3">
      <t>ゴウケイ</t>
    </rPh>
    <rPh sb="12" eb="13">
      <t>アリ</t>
    </rPh>
    <phoneticPr fontId="3"/>
  </si>
  <si>
    <t>学校住所シート</t>
    <rPh sb="0" eb="2">
      <t>ガッコウ</t>
    </rPh>
    <rPh sb="2" eb="4">
      <t>ジュウショ</t>
    </rPh>
    <phoneticPr fontId="3"/>
  </si>
  <si>
    <t>中央区</t>
    <rPh sb="0" eb="3">
      <t>チュウオウク</t>
    </rPh>
    <phoneticPr fontId="3"/>
  </si>
  <si>
    <t>学校名</t>
    <rPh sb="0" eb="3">
      <t>ガッコウメイ</t>
    </rPh>
    <phoneticPr fontId="3"/>
  </si>
  <si>
    <t>よみがな</t>
    <phoneticPr fontId="3"/>
  </si>
  <si>
    <t>郵便番号</t>
    <rPh sb="0" eb="4">
      <t>ユウビンバンゴウ</t>
    </rPh>
    <phoneticPr fontId="3"/>
  </si>
  <si>
    <t>電話番号</t>
    <rPh sb="0" eb="2">
      <t>デンワ</t>
    </rPh>
    <rPh sb="2" eb="4">
      <t>バンゴウ</t>
    </rPh>
    <phoneticPr fontId="3"/>
  </si>
  <si>
    <t>FAX番号</t>
    <rPh sb="3" eb="5">
      <t>バンゴウ</t>
    </rPh>
    <phoneticPr fontId="3"/>
  </si>
  <si>
    <t>札幌市立中央小学校</t>
    <rPh sb="0" eb="4">
      <t>サッポロシリツ</t>
    </rPh>
    <phoneticPr fontId="3"/>
  </si>
  <si>
    <t>さっぽろしりつちゅうおうしょうがっこう</t>
    <phoneticPr fontId="3"/>
  </si>
  <si>
    <t>011-261-6568</t>
    <phoneticPr fontId="3"/>
  </si>
  <si>
    <t>札幌市立山鼻小学校</t>
    <rPh sb="0" eb="4">
      <t>サッポロシリツ</t>
    </rPh>
    <phoneticPr fontId="8"/>
  </si>
  <si>
    <t>さっぽろしりつやまはなしょうがっこう</t>
    <phoneticPr fontId="8"/>
  </si>
  <si>
    <t>011-511-6616</t>
    <phoneticPr fontId="8"/>
  </si>
  <si>
    <t>札幌市立幌西小学校</t>
    <rPh sb="0" eb="4">
      <t>サッポロシリツ</t>
    </rPh>
    <phoneticPr fontId="8"/>
  </si>
  <si>
    <t>さっぽろしりつこうさいしょうがっこう</t>
    <phoneticPr fontId="8"/>
  </si>
  <si>
    <t>011-561-2201</t>
    <phoneticPr fontId="8"/>
  </si>
  <si>
    <t>札幌市立桑園小学校</t>
    <rPh sb="0" eb="4">
      <t>サッポロシリツ</t>
    </rPh>
    <phoneticPr fontId="8"/>
  </si>
  <si>
    <t>さっぽろしりつそうえんしょうがっこう</t>
    <phoneticPr fontId="8"/>
  </si>
  <si>
    <t>011-611-4211</t>
    <phoneticPr fontId="8"/>
  </si>
  <si>
    <t>さっぽろしりつこうなんしょうがっこう</t>
    <phoneticPr fontId="8"/>
  </si>
  <si>
    <t>011-521-0214</t>
    <phoneticPr fontId="8"/>
  </si>
  <si>
    <t>札幌市立幌南小学校</t>
    <rPh sb="0" eb="2">
      <t>サッポロ</t>
    </rPh>
    <rPh sb="2" eb="4">
      <t>シリツ</t>
    </rPh>
    <phoneticPr fontId="8"/>
  </si>
  <si>
    <t>011-631-3437</t>
    <phoneticPr fontId="8"/>
  </si>
  <si>
    <t>札幌市立円山小学校</t>
    <rPh sb="0" eb="4">
      <t>サッポロシリツ</t>
    </rPh>
    <phoneticPr fontId="8"/>
  </si>
  <si>
    <t>さっぽろしりつまるやましょうがっこう</t>
    <phoneticPr fontId="8"/>
  </si>
  <si>
    <t>011-261-6596</t>
    <phoneticPr fontId="8"/>
  </si>
  <si>
    <t>札幌市立二条小学校</t>
    <rPh sb="0" eb="4">
      <t>サッポロシリツ</t>
    </rPh>
    <phoneticPr fontId="8"/>
  </si>
  <si>
    <t>さっぽろしりつにじょうしょうがっこう</t>
    <phoneticPr fontId="8"/>
  </si>
  <si>
    <t>011-631-6361</t>
    <phoneticPr fontId="8"/>
  </si>
  <si>
    <t>札幌市立日新小学校</t>
    <rPh sb="0" eb="4">
      <t>サッポロシリツ</t>
    </rPh>
    <phoneticPr fontId="8"/>
  </si>
  <si>
    <t>さっぽろしりつにっしんしょうがっこう</t>
    <phoneticPr fontId="8"/>
  </si>
  <si>
    <t>011-561-5118</t>
    <phoneticPr fontId="8"/>
  </si>
  <si>
    <t>さっぽろしりつみどりおかしょうがっこう</t>
    <phoneticPr fontId="8"/>
  </si>
  <si>
    <t>札幌市立緑丘小学校</t>
    <rPh sb="0" eb="4">
      <t>サッポロシリツ</t>
    </rPh>
    <phoneticPr fontId="8"/>
  </si>
  <si>
    <t>札幌市立あいの里西小学校</t>
    <rPh sb="0" eb="4">
      <t>サッポロシリツ</t>
    </rPh>
    <rPh sb="7" eb="8">
      <t>サト</t>
    </rPh>
    <rPh sb="8" eb="9">
      <t>ニシ</t>
    </rPh>
    <rPh sb="9" eb="12">
      <t>ショウガッコウ</t>
    </rPh>
    <phoneticPr fontId="90"/>
  </si>
  <si>
    <t>札幌市立旭小学校</t>
  </si>
  <si>
    <t>札幌市立厚別通小学校</t>
  </si>
  <si>
    <t>札幌市立厚別東小学校</t>
  </si>
  <si>
    <t>札幌市立東橋小学校</t>
    <phoneticPr fontId="90"/>
  </si>
  <si>
    <t>札幌市立あやめ野小学校</t>
  </si>
  <si>
    <t>札幌市立有明小学校</t>
    <phoneticPr fontId="90"/>
  </si>
  <si>
    <t>札幌市立石山東小学校</t>
    <rPh sb="0" eb="4">
      <t>サッポロシリツ</t>
    </rPh>
    <rPh sb="4" eb="6">
      <t>イシヤマ</t>
    </rPh>
    <rPh sb="6" eb="7">
      <t>ヒガシ</t>
    </rPh>
    <rPh sb="7" eb="10">
      <t>ショウガッコウ</t>
    </rPh>
    <phoneticPr fontId="90"/>
  </si>
  <si>
    <t>札幌市立稲積小学校</t>
    <rPh sb="0" eb="4">
      <t>サッポロシリツ</t>
    </rPh>
    <rPh sb="4" eb="6">
      <t>イナヅミ</t>
    </rPh>
    <rPh sb="6" eb="9">
      <t>ショウガッコウ</t>
    </rPh>
    <phoneticPr fontId="90"/>
  </si>
  <si>
    <t>札幌市立稲穂小学校</t>
    <rPh sb="0" eb="4">
      <t>サッポロシリツ</t>
    </rPh>
    <rPh sb="4" eb="6">
      <t>イナホ</t>
    </rPh>
    <rPh sb="6" eb="9">
      <t>ショウガッコウ</t>
    </rPh>
    <phoneticPr fontId="90"/>
  </si>
  <si>
    <t>札幌市立美しが丘小学校</t>
    <phoneticPr fontId="90"/>
  </si>
  <si>
    <t>札幌市立大倉山小学校</t>
    <phoneticPr fontId="90"/>
  </si>
  <si>
    <t>札幌市立大谷地小学校</t>
  </si>
  <si>
    <t>札幌市立大谷地東小学校</t>
  </si>
  <si>
    <t>札幌市立開成小学校</t>
    <phoneticPr fontId="90"/>
  </si>
  <si>
    <t>札幌市立上白石小学校</t>
  </si>
  <si>
    <t>札幌市立川北小学校</t>
    <phoneticPr fontId="90"/>
  </si>
  <si>
    <t>札幌市立菊水小学校</t>
    <phoneticPr fontId="90"/>
  </si>
  <si>
    <t>札幌市立北九条小学校</t>
    <phoneticPr fontId="90"/>
  </si>
  <si>
    <t>札幌市立北郷小学校</t>
    <phoneticPr fontId="90"/>
  </si>
  <si>
    <t>札幌市立北白石小学校</t>
    <phoneticPr fontId="90"/>
  </si>
  <si>
    <t>札幌市立北園小学校</t>
  </si>
  <si>
    <t>札幌市立北野小学校</t>
  </si>
  <si>
    <t>札幌市立北野台小学校</t>
  </si>
  <si>
    <t>札幌市立北野平小学校</t>
    <phoneticPr fontId="90"/>
  </si>
  <si>
    <t>札幌市立清田小学校</t>
  </si>
  <si>
    <t>札幌市立清田緑小学校</t>
    <phoneticPr fontId="90"/>
  </si>
  <si>
    <t>札幌市立清田南小学校</t>
  </si>
  <si>
    <t>札幌市立鴻城小学校</t>
    <phoneticPr fontId="90"/>
  </si>
  <si>
    <t>札幌市立幌東小学校</t>
    <phoneticPr fontId="90"/>
  </si>
  <si>
    <t>札幌市立幌北小学校</t>
    <phoneticPr fontId="90"/>
  </si>
  <si>
    <t>札幌市立琴似中央小学校</t>
    <phoneticPr fontId="90"/>
  </si>
  <si>
    <t>札幌市立栄小学校</t>
    <phoneticPr fontId="90"/>
  </si>
  <si>
    <t>札幌市立栄西小学校</t>
    <phoneticPr fontId="90"/>
  </si>
  <si>
    <t>札幌市立栄南小学校</t>
    <phoneticPr fontId="90"/>
  </si>
  <si>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</si>
  <si>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</si>
  <si>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</si>
  <si>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</si>
  <si>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</si>
  <si>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</si>
  <si>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90"/>
  </si>
  <si>
    <t>札幌市立白石小学校</t>
  </si>
  <si>
    <t>札幌市立真栄小学校</t>
    <phoneticPr fontId="90"/>
  </si>
  <si>
    <t>札幌市立新琴似北小学校</t>
  </si>
  <si>
    <t>札幌市立新琴似西小学校</t>
    <phoneticPr fontId="90"/>
  </si>
  <si>
    <t>札幌市立新発寒小学校</t>
  </si>
  <si>
    <t>札幌市立新陽小学校</t>
    <phoneticPr fontId="90"/>
  </si>
  <si>
    <t>札幌市立新陵小学校</t>
  </si>
  <si>
    <t>札幌市立新陵東小学校</t>
  </si>
  <si>
    <t>札幌市立澄川小学校</t>
  </si>
  <si>
    <t>札幌市立澄川西小学校</t>
  </si>
  <si>
    <t>札幌市立西園小学校</t>
    <phoneticPr fontId="90"/>
  </si>
  <si>
    <t>札幌太平小学校</t>
    <phoneticPr fontId="90"/>
  </si>
  <si>
    <t>札幌市立太平南小学校</t>
  </si>
  <si>
    <t>札幌市立拓北小学校</t>
    <phoneticPr fontId="90"/>
  </si>
  <si>
    <t>札幌市立月寒小学校</t>
  </si>
  <si>
    <t>札幌市立月寒東小学校</t>
    <phoneticPr fontId="90"/>
  </si>
  <si>
    <t>札幌市立手稲鉄北小学校</t>
  </si>
  <si>
    <t>札幌市立手稲西小学校</t>
  </si>
  <si>
    <t>札幌市立手稲東小学校</t>
    <phoneticPr fontId="90"/>
  </si>
  <si>
    <t>札幌市立東園小学校</t>
  </si>
  <si>
    <t>札幌市立東光小学校</t>
  </si>
  <si>
    <t>札幌市立常盤小学校</t>
  </si>
  <si>
    <t>札幌市立富丘小学校</t>
  </si>
  <si>
    <t>札幌市立豊園小学校</t>
    <phoneticPr fontId="90"/>
  </si>
  <si>
    <t>札幌市立豊平小学校</t>
    <phoneticPr fontId="90"/>
  </si>
  <si>
    <t>札幌市立屯田小学校</t>
    <phoneticPr fontId="90"/>
  </si>
  <si>
    <t>札幌市立屯田北小学校</t>
  </si>
  <si>
    <t>札幌市立屯田西小学校</t>
    <phoneticPr fontId="90"/>
  </si>
  <si>
    <t>札幌市立苗穂小学校</t>
  </si>
  <si>
    <t>札幌市立中沼小学校</t>
    <phoneticPr fontId="90"/>
  </si>
  <si>
    <t>札幌市立中の島小学校</t>
    <phoneticPr fontId="90"/>
  </si>
  <si>
    <t>札幌市立南郷小学校</t>
    <phoneticPr fontId="90"/>
  </si>
  <si>
    <t>札幌市立西小学校</t>
    <phoneticPr fontId="90"/>
  </si>
  <si>
    <t>札幌市立西岡小学校</t>
    <phoneticPr fontId="90"/>
  </si>
  <si>
    <t>札幌市立西岡北小学校</t>
  </si>
  <si>
    <t>札幌市立西岡南小学校</t>
    <phoneticPr fontId="90"/>
  </si>
  <si>
    <t>札幌市立西白石小学校</t>
    <phoneticPr fontId="90"/>
  </si>
  <si>
    <t>札幌市立西野小学校</t>
  </si>
  <si>
    <t>札幌市立西野第二小学校</t>
  </si>
  <si>
    <t>札幌市立二十四軒小学校</t>
    <phoneticPr fontId="90"/>
  </si>
  <si>
    <t>札幌市立八軒小学校</t>
  </si>
  <si>
    <t>札幌市立八軒北小学校</t>
    <phoneticPr fontId="90"/>
  </si>
  <si>
    <t>札幌市立八軒西小学校</t>
  </si>
  <si>
    <t>札幌市立発寒小学校</t>
    <phoneticPr fontId="90"/>
  </si>
  <si>
    <t>札幌市立発寒西小学校</t>
    <phoneticPr fontId="90"/>
  </si>
  <si>
    <t>札幌市立発寒東小学校</t>
    <phoneticPr fontId="90"/>
  </si>
  <si>
    <t>札幌市立発寒南小学校</t>
  </si>
  <si>
    <t>札幌市立茨戸小学校</t>
  </si>
  <si>
    <t>札幌市立東川下小学校</t>
  </si>
  <si>
    <t>札幌市立東札幌小学校</t>
    <phoneticPr fontId="90"/>
  </si>
  <si>
    <t>札幌市立東白石小学校</t>
    <phoneticPr fontId="90"/>
  </si>
  <si>
    <t>札幌市立東苗穂小学校</t>
    <phoneticPr fontId="90"/>
  </si>
  <si>
    <t>札幌市立東山小学校</t>
  </si>
  <si>
    <t>札幌市立羊丘小学校</t>
    <phoneticPr fontId="90"/>
  </si>
  <si>
    <t>札幌市立平岡小学校</t>
    <phoneticPr fontId="90"/>
  </si>
  <si>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</si>
  <si>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</si>
  <si>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</si>
  <si>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</si>
  <si>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</si>
  <si>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</si>
  <si>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</si>
  <si>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</si>
  <si>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</si>
  <si>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</si>
  <si>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</si>
  <si>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</si>
  <si>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</si>
  <si>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</si>
  <si>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</si>
  <si>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</si>
  <si>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</si>
  <si>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90"/>
  </si>
  <si>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</si>
  <si>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</si>
  <si>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</si>
  <si>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</si>
  <si>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</si>
  <si>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</si>
  <si>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</si>
  <si>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</si>
  <si>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</si>
  <si>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</si>
  <si>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</si>
  <si>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</si>
  <si>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</si>
  <si>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90"/>
  </si>
  <si>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</si>
  <si>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</si>
  <si>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</si>
  <si>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</si>
  <si>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</si>
  <si>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</si>
  <si>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</si>
  <si>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</si>
  <si>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</si>
  <si>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</si>
  <si>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</si>
  <si>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</si>
  <si>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</si>
  <si>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</si>
  <si>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</si>
  <si>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</si>
  <si>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</si>
  <si>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</si>
  <si>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</si>
  <si>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</si>
  <si>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</si>
  <si>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</si>
  <si>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90"/>
  </si>
  <si>
    <t>064-0954</t>
    <phoneticPr fontId="90"/>
  </si>
  <si>
    <t>064-0918</t>
    <phoneticPr fontId="90"/>
  </si>
  <si>
    <t>064-0929</t>
    <phoneticPr fontId="90"/>
  </si>
  <si>
    <t>060-0063</t>
    <phoneticPr fontId="90"/>
  </si>
  <si>
    <t>さっぽろしりつおおくらやましょうがっこう</t>
    <phoneticPr fontId="8"/>
  </si>
  <si>
    <t>さっぽろしりつさんかくやましょうがっこう</t>
    <phoneticPr fontId="8"/>
  </si>
  <si>
    <t>さっぽろしりつみやのもりしょうがっこう</t>
    <phoneticPr fontId="8"/>
  </si>
  <si>
    <t>さっぽろしりつふしみしょうがっこう</t>
    <phoneticPr fontId="8"/>
  </si>
  <si>
    <t>さっぽろしりつやまはなみなみしょうがっこう</t>
    <phoneticPr fontId="8"/>
  </si>
  <si>
    <t>さっぽろしりつしせいかんしょうがっこう</t>
    <phoneticPr fontId="8"/>
  </si>
  <si>
    <t>番号</t>
    <rPh sb="0" eb="2">
      <t>バンゴウ</t>
    </rPh>
    <phoneticPr fontId="8"/>
  </si>
  <si>
    <t>さっぽろしりつやまのてみなみしょうがっこう</t>
    <phoneticPr fontId="8"/>
  </si>
  <si>
    <t>さっぽろしりつやまのてしょうがっこう</t>
    <phoneticPr fontId="8"/>
  </si>
  <si>
    <t>さっぽろしりつやまのてようごがっこう</t>
    <phoneticPr fontId="8"/>
  </si>
  <si>
    <t>さっぽろしりつせいえんしょうがっこう</t>
    <phoneticPr fontId="8"/>
  </si>
  <si>
    <t>さっぽろしりつていねひがししょうがっこう</t>
    <phoneticPr fontId="8"/>
  </si>
  <si>
    <t>さっぽろしりつにしのしょうがっこう</t>
    <phoneticPr fontId="8"/>
  </si>
  <si>
    <t>さっぽろしりつにしのだいにしょうがっこう</t>
    <phoneticPr fontId="8"/>
  </si>
  <si>
    <t>さっぽろしりつにじゅうよんけんしょうがっこう</t>
    <phoneticPr fontId="8"/>
  </si>
  <si>
    <t>さっぽろしりつはちけんにししょうがっこう</t>
    <phoneticPr fontId="8"/>
  </si>
  <si>
    <t>さっぽろしりつはちけんしょうがっこう</t>
    <phoneticPr fontId="8"/>
  </si>
  <si>
    <t>さっぽろしりつことにちゅうおうしょうがっこう</t>
    <phoneticPr fontId="8"/>
  </si>
  <si>
    <t>さっぽろしりつはちけんきたしょうがっこう</t>
    <phoneticPr fontId="8"/>
  </si>
  <si>
    <t>さっぽろしりつはっさむしょうがっこう</t>
    <phoneticPr fontId="8"/>
  </si>
  <si>
    <t>さっぽろしりつほくしょうようごがっこう</t>
    <phoneticPr fontId="8"/>
  </si>
  <si>
    <t>区</t>
    <rPh sb="0" eb="1">
      <t>ク</t>
    </rPh>
    <phoneticPr fontId="8"/>
  </si>
  <si>
    <t>さっぽろしりつはっさむひがししょうがっこう</t>
    <phoneticPr fontId="8"/>
  </si>
  <si>
    <t>さっぽろしりつはっさむみなみしょうがっこう</t>
    <phoneticPr fontId="8"/>
  </si>
  <si>
    <t>さっぽろしりつはっさむにししょうがっこう</t>
    <phoneticPr fontId="8"/>
  </si>
  <si>
    <t>さっぽろしりつにししょうがっこう</t>
    <phoneticPr fontId="8"/>
  </si>
  <si>
    <t>さっぽろしりつふくいのしょうがっこう</t>
    <phoneticPr fontId="8"/>
  </si>
  <si>
    <t>さっぽろしりつへいわしょうがっこう</t>
    <phoneticPr fontId="8"/>
  </si>
  <si>
    <t>清田区</t>
    <rPh sb="0" eb="3">
      <t>キヨタク</t>
    </rPh>
    <phoneticPr fontId="8"/>
  </si>
  <si>
    <t>さっぽろしりつきよたしょうがっこう</t>
    <phoneticPr fontId="8"/>
  </si>
  <si>
    <t>さっぽろしりつきよたみなみしょうがっこう</t>
    <phoneticPr fontId="8"/>
  </si>
  <si>
    <t>さっぽろしりつきよたみどりしょうがっこう</t>
    <phoneticPr fontId="8"/>
  </si>
  <si>
    <t>さっぽろしりつしんえいしょうがっこう</t>
    <phoneticPr fontId="8"/>
  </si>
  <si>
    <t>さっぽしりつうつくしがおかしょうがっこう</t>
    <phoneticPr fontId="8"/>
  </si>
  <si>
    <t>札幌市立美しが丘緑小学校</t>
    <phoneticPr fontId="8"/>
  </si>
  <si>
    <t>さっぽろしりつうつくしがおかみどりしょうがっこう</t>
    <phoneticPr fontId="8"/>
  </si>
  <si>
    <t>さっぽろしりつひらおかみなみしょうがっこう</t>
    <phoneticPr fontId="8"/>
  </si>
  <si>
    <t>さっぽろしりつひらおかちゅうおうしょうがっこう</t>
    <phoneticPr fontId="8"/>
  </si>
  <si>
    <t>さっぽろしりつひらおかしょうがっこう</t>
    <phoneticPr fontId="8"/>
  </si>
  <si>
    <t>さっぽろしりつひらおかこうえんしょうがっこう</t>
    <phoneticPr fontId="8"/>
  </si>
  <si>
    <t>さっぽろしりつきたのだいらしょうがっこう</t>
    <phoneticPr fontId="8"/>
  </si>
  <si>
    <t>さっぽろしりつきたのしょうがっこう</t>
    <phoneticPr fontId="8"/>
  </si>
  <si>
    <t>さっぽろしりつきたのだいしょうがっこう</t>
    <phoneticPr fontId="8"/>
  </si>
  <si>
    <t>さっぽろしりつありあけしょうがっこう</t>
    <phoneticPr fontId="8"/>
  </si>
  <si>
    <t>さっぽろしりつさんりづかしょうがっこう</t>
    <phoneticPr fontId="8"/>
  </si>
  <si>
    <t>札幌市立手稲北小学校</t>
    <phoneticPr fontId="90"/>
  </si>
  <si>
    <t>札幌市立手稲中央小学校</t>
    <phoneticPr fontId="90"/>
  </si>
  <si>
    <t>札幌市立手稲山口小学校</t>
    <phoneticPr fontId="90"/>
  </si>
  <si>
    <t>札幌市立西宮の沢小学校</t>
    <phoneticPr fontId="90"/>
  </si>
  <si>
    <t>手稲区</t>
    <rPh sb="0" eb="3">
      <t>テイネク</t>
    </rPh>
    <phoneticPr fontId="8"/>
  </si>
  <si>
    <t>さっぽろしりつていねにししょうがっこう</t>
    <phoneticPr fontId="8"/>
  </si>
  <si>
    <t>さっぽろしりついなほしょうがっこう</t>
    <phoneticPr fontId="8"/>
  </si>
  <si>
    <t>さっぽろしりつていねきたしょうがっこう</t>
    <phoneticPr fontId="8"/>
  </si>
  <si>
    <t>さっぽろしりつていねてつほくしょうがっこう</t>
    <phoneticPr fontId="8"/>
  </si>
  <si>
    <t>さっぽろしりつていねちゅうおうしょうがっこう</t>
    <phoneticPr fontId="8"/>
  </si>
  <si>
    <t>さっぽろしりつていねやまぐちしょうがっこう</t>
    <phoneticPr fontId="8"/>
  </si>
  <si>
    <t>さっぽろしりつしんはっさむしょうがっこう</t>
    <phoneticPr fontId="8"/>
  </si>
  <si>
    <t>さっぽろしりつしんりょうひがししょうがっこう</t>
    <phoneticPr fontId="8"/>
  </si>
  <si>
    <t>さっぽろしりつしんりょうしょうがっこう</t>
    <phoneticPr fontId="8"/>
  </si>
  <si>
    <t>さっぽろしりつほしおきひがししょうがっこう</t>
    <phoneticPr fontId="8"/>
  </si>
  <si>
    <t>さっぽろしりつにしみやのさわしょうがっこう</t>
    <phoneticPr fontId="8"/>
  </si>
  <si>
    <t>さっぽろしりつまえだきたしょうがっこう</t>
    <phoneticPr fontId="8"/>
  </si>
  <si>
    <t>さっぽろしりついなづみしょうがっこう</t>
    <phoneticPr fontId="8"/>
  </si>
  <si>
    <t>さっぽろしりつまえだしょうがっこう</t>
    <phoneticPr fontId="8"/>
  </si>
  <si>
    <t>さっぽろしりつまえだちゅうおうしょうがっこう</t>
    <phoneticPr fontId="8"/>
  </si>
  <si>
    <t>さっぽろしりつとみおかしょうがっこう</t>
    <phoneticPr fontId="8"/>
  </si>
  <si>
    <t>札幌市立厚別西小学校</t>
    <phoneticPr fontId="90"/>
  </si>
  <si>
    <t>札幌市立ひばりが丘小学校</t>
    <phoneticPr fontId="90"/>
  </si>
  <si>
    <t>札幌市立小野幌小学校</t>
    <phoneticPr fontId="90"/>
  </si>
  <si>
    <t>札幌市立共栄小学校</t>
    <phoneticPr fontId="90"/>
  </si>
  <si>
    <t>札幌市立厚別北小学校</t>
    <phoneticPr fontId="90"/>
  </si>
  <si>
    <t>厚別区</t>
    <rPh sb="0" eb="3">
      <t>アツベツク</t>
    </rPh>
    <phoneticPr fontId="8"/>
  </si>
  <si>
    <t>さっぽろしりつもみじのもりしょうがっこう</t>
    <phoneticPr fontId="8"/>
  </si>
  <si>
    <t>さっぽろしりつもみじのおかしょうがっこう</t>
    <phoneticPr fontId="8"/>
  </si>
  <si>
    <t>さっぽろしりつあつべつにししょうがっこう</t>
    <phoneticPr fontId="8"/>
  </si>
  <si>
    <t>さっぽろしりつあつべつどおりしょうがっこう</t>
    <phoneticPr fontId="8"/>
  </si>
  <si>
    <t>さっぽろしりつひばりがおかしょうがっこう</t>
    <phoneticPr fontId="8"/>
  </si>
  <si>
    <t>さっぽろしりつしなのしょうがっこう</t>
    <phoneticPr fontId="8"/>
  </si>
  <si>
    <t>さっぽろしりつこのっぽろしょうがっこう</t>
    <phoneticPr fontId="8"/>
  </si>
  <si>
    <t>さっぽろしりつあつべつひがししょうがっこう</t>
    <phoneticPr fontId="8"/>
  </si>
  <si>
    <t>さっぽろしりつきょうえいしょうがっこう</t>
    <phoneticPr fontId="8"/>
  </si>
  <si>
    <t>さっぽろしりつあつべつきたしょうがっこう</t>
    <phoneticPr fontId="8"/>
  </si>
  <si>
    <t>さっぽろしりつおおやちひがししょうがっこう</t>
    <phoneticPr fontId="8"/>
  </si>
  <si>
    <t>札幌市立丘珠小学校</t>
    <phoneticPr fontId="90"/>
  </si>
  <si>
    <t>札幌市立札苗緑小学校</t>
    <phoneticPr fontId="90"/>
  </si>
  <si>
    <t>札幌市立札苗小学校</t>
    <phoneticPr fontId="90"/>
  </si>
  <si>
    <t>札幌市立札幌小学校</t>
    <phoneticPr fontId="90"/>
  </si>
  <si>
    <t>札幌市立元町小学校</t>
    <phoneticPr fontId="90"/>
  </si>
  <si>
    <t>札幌市立北小学校</t>
    <phoneticPr fontId="90"/>
  </si>
  <si>
    <t>札幌市立栄町小学校</t>
    <phoneticPr fontId="90"/>
  </si>
  <si>
    <t>札幌市立栄東小学校</t>
    <phoneticPr fontId="90"/>
  </si>
  <si>
    <t>札幌市立栄北小学校</t>
    <phoneticPr fontId="90"/>
  </si>
  <si>
    <t>札幌市立栄緑小学校</t>
    <phoneticPr fontId="90"/>
  </si>
  <si>
    <t>東区</t>
    <rPh sb="0" eb="1">
      <t>ヒガシ</t>
    </rPh>
    <rPh sb="1" eb="2">
      <t>ク</t>
    </rPh>
    <phoneticPr fontId="8"/>
  </si>
  <si>
    <t>さっぽろしりつおかだましょうがっこう</t>
    <phoneticPr fontId="8"/>
  </si>
  <si>
    <t>さっぽろしりつふくいしょうがっこう</t>
    <phoneticPr fontId="8"/>
  </si>
  <si>
    <t>さっぽろしりつなかぬましょうがっこう</t>
    <phoneticPr fontId="8"/>
  </si>
  <si>
    <t>さっぽろしりつさつなえみどりしょうがっこう</t>
    <phoneticPr fontId="8"/>
  </si>
  <si>
    <t>さっぽろしりつひがしなえぼしょうがっこう</t>
    <phoneticPr fontId="8"/>
  </si>
  <si>
    <t>さっぽろしりつさつなえしょうがっこう</t>
    <phoneticPr fontId="8"/>
  </si>
  <si>
    <t>さっぽろしりつさつなえきたしょうがっこう</t>
    <phoneticPr fontId="8"/>
  </si>
  <si>
    <t>さっぽろしりつふしこきたしょうがっこう</t>
    <phoneticPr fontId="8"/>
  </si>
  <si>
    <t>さっぽろしりつさっぽろしょうがっこう</t>
    <phoneticPr fontId="8"/>
  </si>
  <si>
    <t>さっぽろしりつふしこしょうがっこう</t>
    <phoneticPr fontId="8"/>
  </si>
  <si>
    <t>さっぽろしりつほっこうしょうがっこう</t>
    <phoneticPr fontId="8"/>
  </si>
  <si>
    <t>さっぽろしりつみかほしょうがっこう</t>
    <phoneticPr fontId="8"/>
  </si>
  <si>
    <t>さっぽろしりつめいえんしょうがっこう</t>
    <phoneticPr fontId="8"/>
  </si>
  <si>
    <t>さっぽろしりつかいせいしょうがっこう</t>
    <phoneticPr fontId="8"/>
  </si>
  <si>
    <t>さっぽろしりつもとまちしょうがっこう</t>
    <phoneticPr fontId="8"/>
  </si>
  <si>
    <t>さっぽろしりつきたぞのしょうがっこう</t>
    <phoneticPr fontId="8"/>
  </si>
  <si>
    <t>さっぽろしりつもとまちきたしょうがっこう</t>
    <phoneticPr fontId="8"/>
  </si>
  <si>
    <t>さっぽろしりつきたしょうがっこう</t>
    <phoneticPr fontId="8"/>
  </si>
  <si>
    <t>さっぽろしりつさかえまちしょうがっこう</t>
    <phoneticPr fontId="8"/>
  </si>
  <si>
    <t>さっぽろしりつさかえみなみしょうがっこう</t>
    <phoneticPr fontId="8"/>
  </si>
  <si>
    <t>さっぽろしりつさかえにししょうがっこう</t>
    <phoneticPr fontId="8"/>
  </si>
  <si>
    <t>さっぽろしりつさかえしょうがっこう</t>
    <phoneticPr fontId="8"/>
  </si>
  <si>
    <t>さっぽろしりつさかえひがししょうがっこう</t>
    <phoneticPr fontId="8"/>
  </si>
  <si>
    <t>さっぽろしりつさかえきたしょうがっこう</t>
    <phoneticPr fontId="8"/>
  </si>
  <si>
    <t>さっぽろしりつさかえみどりしょうがっこう</t>
    <phoneticPr fontId="8"/>
  </si>
  <si>
    <t>さっぽろしりつなえぼしょうがっこう</t>
    <phoneticPr fontId="8"/>
  </si>
  <si>
    <t>さっぽろしりつとうこうしょうがっこう</t>
    <phoneticPr fontId="8"/>
  </si>
  <si>
    <t>さっぽろしりつほんちょうしょうがっこう</t>
    <phoneticPr fontId="8"/>
  </si>
  <si>
    <t>札幌市立駒岡小学校</t>
    <phoneticPr fontId="90"/>
  </si>
  <si>
    <t>札幌市立澄川南小学校</t>
    <phoneticPr fontId="90"/>
  </si>
  <si>
    <t>札幌市立藻岩北小学校</t>
    <phoneticPr fontId="90"/>
  </si>
  <si>
    <t>札幌市立定山渓小学校</t>
    <phoneticPr fontId="90"/>
  </si>
  <si>
    <t>札幌市立北の沢小学校</t>
    <phoneticPr fontId="90"/>
  </si>
  <si>
    <t>南区</t>
    <rPh sb="0" eb="2">
      <t>ミナミク</t>
    </rPh>
    <phoneticPr fontId="8"/>
  </si>
  <si>
    <t>さっぽろしりつときわしょうがっこう</t>
    <phoneticPr fontId="8"/>
  </si>
  <si>
    <t>さっぽろしりつこまおかしょうがっこう</t>
    <phoneticPr fontId="8"/>
  </si>
  <si>
    <t>さっぽろしりつまこまないこうえんしょうがっこう</t>
    <phoneticPr fontId="8"/>
  </si>
  <si>
    <t>さっぽろしりつまこまないさくらやましょうがっこう</t>
    <phoneticPr fontId="8"/>
  </si>
  <si>
    <t>さっぽろしりつすみかわにししょうがっこう</t>
    <phoneticPr fontId="8"/>
  </si>
  <si>
    <t>さっぽろしりつすみかわみなみしょうがっこう</t>
    <phoneticPr fontId="8"/>
  </si>
  <si>
    <t>さっぽろしりつすみかわしょうがっこう</t>
    <phoneticPr fontId="8"/>
  </si>
  <si>
    <t>さっぽろしりつふじのさわしょうがっこう</t>
    <phoneticPr fontId="8"/>
  </si>
  <si>
    <t>さっぽろしりついしやまひがししょうがっこう</t>
    <phoneticPr fontId="8"/>
  </si>
  <si>
    <t>さっぽろしりつもいわみなみしょうがっこう</t>
    <phoneticPr fontId="8"/>
  </si>
  <si>
    <t>さっぽろしりつもいわきたしょうがっこう</t>
    <phoneticPr fontId="8"/>
  </si>
  <si>
    <t>さっぽろしりつもいわしょうがっこう</t>
    <phoneticPr fontId="8"/>
  </si>
  <si>
    <t>さっぽろしりつじょうざんけいしょうがっこう</t>
    <phoneticPr fontId="8"/>
  </si>
  <si>
    <t>さっぽろしりつふじのしょうがっこう</t>
    <phoneticPr fontId="8"/>
  </si>
  <si>
    <t>さっぽろしりつふじのみなみしょうがっこう</t>
    <phoneticPr fontId="8"/>
  </si>
  <si>
    <t>さっぽろしりつほうせいようごがっこう</t>
    <phoneticPr fontId="8"/>
  </si>
  <si>
    <t>さっぽろしりつみなみしょうがっこう</t>
    <phoneticPr fontId="8"/>
  </si>
  <si>
    <t>さっぽろしりつみなみのさわしょうがっこう</t>
    <phoneticPr fontId="8"/>
  </si>
  <si>
    <t>さっぽろしりつきたのさわしょうがっこう</t>
    <phoneticPr fontId="8"/>
  </si>
  <si>
    <t>さっぽりしりつみすまえしょうがっこう</t>
    <phoneticPr fontId="8"/>
  </si>
  <si>
    <t>白石区</t>
    <rPh sb="0" eb="3">
      <t>シロイシク</t>
    </rPh>
    <phoneticPr fontId="8"/>
  </si>
  <si>
    <t>さっぽろしりつこうとうしょうがっこう</t>
    <phoneticPr fontId="8"/>
  </si>
  <si>
    <t>さっぽろしりつあずまばししょうがっこう</t>
    <phoneticPr fontId="8"/>
  </si>
  <si>
    <t>さっぽろしりつきくすいしょうがっこう</t>
    <phoneticPr fontId="8"/>
  </si>
  <si>
    <t>さっぽろしりつかみしろいししょうがっこう</t>
    <phoneticPr fontId="8"/>
  </si>
  <si>
    <t>さっぽろしりつひがしかわしもしょうがっこう</t>
    <phoneticPr fontId="8"/>
  </si>
  <si>
    <t>さっぽろしりつかわきたしょうがっこう</t>
    <phoneticPr fontId="8"/>
  </si>
  <si>
    <t>さっぽろしりつにししろいししょうがっこう</t>
    <phoneticPr fontId="8"/>
  </si>
  <si>
    <t>さっぽろしりつひがしさっぽろしょうがっこう</t>
    <phoneticPr fontId="8"/>
  </si>
  <si>
    <t>さっぽろしりつほんごうしょうがっこう</t>
    <phoneticPr fontId="8"/>
  </si>
  <si>
    <t>さっぽろしりつみなみしろいししょうがっこう</t>
    <phoneticPr fontId="8"/>
  </si>
  <si>
    <t>さっぽろしりつほんどおりしょうがっこう</t>
    <phoneticPr fontId="8"/>
  </si>
  <si>
    <t>さっぽろしりつよねさとしょうがっこう</t>
    <phoneticPr fontId="8"/>
  </si>
  <si>
    <t>さっぽろしりつほくとしょうがっこう</t>
    <phoneticPr fontId="8"/>
  </si>
  <si>
    <t>さっぽろしりつほんごうしょうがっこう</t>
    <phoneticPr fontId="8"/>
  </si>
  <si>
    <t>さっぽろしりつきたしろいししょうがっこう</t>
    <phoneticPr fontId="8"/>
  </si>
  <si>
    <t>さっぽろしりつなんごうしょうがっこう</t>
    <phoneticPr fontId="8"/>
  </si>
  <si>
    <t>さっぽろしりつひがししろいししょうがっこう</t>
    <phoneticPr fontId="8"/>
  </si>
  <si>
    <t>さっぽろしりつへいわどおりしょうがっこう</t>
    <phoneticPr fontId="8"/>
  </si>
  <si>
    <t>さっぽろしりつおおやちしょうがっこう</t>
    <phoneticPr fontId="8"/>
  </si>
  <si>
    <t>さっぽろしりつしろいししょうがっこう</t>
    <phoneticPr fontId="8"/>
  </si>
  <si>
    <t>豊平区</t>
    <rPh sb="0" eb="3">
      <t>トヨヒラク</t>
    </rPh>
    <phoneticPr fontId="8"/>
  </si>
  <si>
    <t>さっぽろしりつつきさむしょうがっこう</t>
    <phoneticPr fontId="8"/>
  </si>
  <si>
    <t>さっぽろしりつみなみつきさむしょうがっこう</t>
    <phoneticPr fontId="8"/>
  </si>
  <si>
    <t>さっぽろしりつあやめのしょうがっこう</t>
    <phoneticPr fontId="8"/>
  </si>
  <si>
    <t>さっぽろしひつじがおかしょうがっこう</t>
    <phoneticPr fontId="8"/>
  </si>
  <si>
    <t>さっぽろしりつつきさむひがししょうがっこう</t>
    <phoneticPr fontId="8"/>
  </si>
  <si>
    <t>さっぽろしりつしらかばだいしょうがっこう</t>
    <phoneticPr fontId="8"/>
  </si>
  <si>
    <t>さっぽろしりつあさひしょうがっこう</t>
    <phoneticPr fontId="8"/>
  </si>
  <si>
    <t>さっぽろしりつにしおかしょうがっこう</t>
    <phoneticPr fontId="8"/>
  </si>
  <si>
    <t>さっぽろしりつにしおかきたしょうがっこう</t>
    <phoneticPr fontId="8"/>
  </si>
  <si>
    <t>さっぽろしりつにしおかみなみしょうがっこう</t>
    <phoneticPr fontId="8"/>
  </si>
  <si>
    <t>さっぽろしりつなかのしましょうがっこう</t>
    <phoneticPr fontId="8"/>
  </si>
  <si>
    <t>さっぽろしりつとよぞのしょうがっこう</t>
    <phoneticPr fontId="8"/>
  </si>
  <si>
    <t>さっぽろしりつみどりしょうがっこう</t>
    <phoneticPr fontId="8"/>
  </si>
  <si>
    <t>さっぽろしりつふくずみしょうがっこう</t>
    <phoneticPr fontId="8"/>
  </si>
  <si>
    <t>さっぽろしりつひらぎしにししょうがっこう</t>
    <phoneticPr fontId="8"/>
  </si>
  <si>
    <t>さっぽろしりつひらぎししょうがっこう</t>
    <phoneticPr fontId="8"/>
  </si>
  <si>
    <t>さっぽろしりつひがしやましょうがっこう</t>
    <phoneticPr fontId="8"/>
  </si>
  <si>
    <t>さっぽろしりつひらぎしたかだいしょうがっこう</t>
    <phoneticPr fontId="8"/>
  </si>
  <si>
    <t>さっぽろしりつみそのしょうがっこう</t>
    <phoneticPr fontId="8"/>
  </si>
  <si>
    <t>さっぽろしりつとうえんしょうがっこう</t>
    <phoneticPr fontId="8"/>
  </si>
  <si>
    <t>さっぽろしりつとよひらしょうがっこう</t>
    <phoneticPr fontId="8"/>
  </si>
  <si>
    <t>札幌市立あいの里東小学校</t>
    <phoneticPr fontId="90"/>
  </si>
  <si>
    <t>札幌市立篠路西小学校</t>
    <phoneticPr fontId="90"/>
  </si>
  <si>
    <t>札幌市立新琴似緑小学校</t>
    <phoneticPr fontId="90"/>
  </si>
  <si>
    <t>札幌市立新光小学校</t>
    <phoneticPr fontId="90"/>
  </si>
  <si>
    <t>札幌市立新琴似南小学校</t>
    <phoneticPr fontId="90"/>
  </si>
  <si>
    <t>札幌市立光陽小学校</t>
    <phoneticPr fontId="90"/>
  </si>
  <si>
    <t>札幌市立新琴似小学校</t>
    <phoneticPr fontId="90"/>
  </si>
  <si>
    <t>札幌市立新川中央小学校</t>
    <phoneticPr fontId="90"/>
  </si>
  <si>
    <t>札幌市立新川小学校</t>
    <phoneticPr fontId="90"/>
  </si>
  <si>
    <t>札幌市立屯田南小学校</t>
    <phoneticPr fontId="90"/>
  </si>
  <si>
    <t>札幌市立白楊小学校</t>
    <phoneticPr fontId="90"/>
  </si>
  <si>
    <t>北区</t>
    <rPh sb="0" eb="2">
      <t>キタク</t>
    </rPh>
    <phoneticPr fontId="8"/>
  </si>
  <si>
    <t>さっぽろしりつたくほくしょうがっこう</t>
    <phoneticPr fontId="8"/>
  </si>
  <si>
    <t>さっぽろしりつあいのさとにししょうがっこう</t>
    <phoneticPr fontId="8"/>
  </si>
  <si>
    <t>さっぽろしりつこうじょうしょうがっこう</t>
    <phoneticPr fontId="8"/>
  </si>
  <si>
    <t>さっぽろしりつあいのさとひがししょうがっこう</t>
    <phoneticPr fontId="8"/>
  </si>
  <si>
    <t>ほっかいどうきょういくだいがくさっぽろしょうがっこう</t>
    <phoneticPr fontId="8"/>
  </si>
  <si>
    <t>さっぽろたいへいしょうがっこう</t>
    <phoneticPr fontId="8"/>
  </si>
  <si>
    <t>さっぽろしりつしのろしょうがっこう</t>
    <phoneticPr fontId="8"/>
  </si>
  <si>
    <t>さっぽろしりつしのろにししょうがっこう</t>
    <phoneticPr fontId="8"/>
  </si>
  <si>
    <t>さっぽろしりつしんことにみどりしょうがっこう</t>
    <phoneticPr fontId="8"/>
  </si>
  <si>
    <t>さっぽろしりつしんことににししょうがっこう</t>
    <phoneticPr fontId="8"/>
  </si>
  <si>
    <t>さっぽろしりつしんことにきたしょうがっこう</t>
    <phoneticPr fontId="8"/>
  </si>
  <si>
    <t>さっぽろしりつしんこうしょうがっこう</t>
    <phoneticPr fontId="8"/>
  </si>
  <si>
    <t>さっぽろしりつしんことにみなみしょうがっこう</t>
    <phoneticPr fontId="8"/>
  </si>
  <si>
    <t>さっぽろしりつこうようしょうがっこう</t>
    <phoneticPr fontId="8"/>
  </si>
  <si>
    <t>さっぽろしりつしんことにしょうがっこう</t>
    <phoneticPr fontId="8"/>
  </si>
  <si>
    <t>さっぽろしりつしんかわちゅうおうしょうがっこう</t>
    <phoneticPr fontId="8"/>
  </si>
  <si>
    <t>さっぽろしりつしんかわしょうがっこう</t>
    <phoneticPr fontId="8"/>
  </si>
  <si>
    <t>さっぽろしりつたいへいみなみしょうがっこう</t>
    <phoneticPr fontId="8"/>
  </si>
  <si>
    <t>さっぽろしりつばらとしょうがっこう</t>
    <phoneticPr fontId="8"/>
  </si>
  <si>
    <t>さっぽろしりつとんでんみなみしょうがっこう</t>
    <phoneticPr fontId="8"/>
  </si>
  <si>
    <t>さっぽろしりつとんでんにししょうがっこう</t>
    <phoneticPr fontId="8"/>
  </si>
  <si>
    <t>さっぽろしりつとんでんしょうがっこう</t>
    <phoneticPr fontId="8"/>
  </si>
  <si>
    <t>さっぽろしりつとんでんきたしょうがっこう</t>
    <phoneticPr fontId="8"/>
  </si>
  <si>
    <t>さっぽろしりつゆりがはらしょうがっこう</t>
    <phoneticPr fontId="8"/>
  </si>
  <si>
    <t>さっぽろしりつこうほくしょうがっこう</t>
    <phoneticPr fontId="8"/>
  </si>
  <si>
    <t>さっぽろしりつはくようしょうがっこう</t>
    <phoneticPr fontId="8"/>
  </si>
  <si>
    <t>さっぽろしりつしんようしょうがっこう</t>
    <phoneticPr fontId="8"/>
  </si>
  <si>
    <t>さっぽろしりつほくようしょうがっこう</t>
    <phoneticPr fontId="8"/>
  </si>
  <si>
    <t>さっぽろしりつわこうしょうがっこう</t>
    <phoneticPr fontId="8"/>
  </si>
  <si>
    <t>さっぽろしりつきたくじょうしょうがっこう</t>
    <phoneticPr fontId="8"/>
  </si>
  <si>
    <t>←郵便番号はハイフンなし【半角】で入力してください</t>
    <rPh sb="1" eb="5">
      <t>ユウビンバンゴウ</t>
    </rPh>
    <rPh sb="17" eb="19">
      <t>ニュウリョク</t>
    </rPh>
    <phoneticPr fontId="8"/>
  </si>
  <si>
    <t>令和３</t>
    <rPh sb="0" eb="2">
      <t>レイワ</t>
    </rPh>
    <phoneticPr fontId="8"/>
  </si>
  <si>
    <t>月</t>
    <rPh sb="0" eb="1">
      <t>ゲツ</t>
    </rPh>
    <phoneticPr fontId="8"/>
  </si>
  <si>
    <t>火</t>
    <rPh sb="0" eb="1">
      <t>カ</t>
    </rPh>
    <phoneticPr fontId="8"/>
  </si>
  <si>
    <t>水</t>
    <rPh sb="0" eb="1">
      <t>スイ</t>
    </rPh>
    <phoneticPr fontId="8"/>
  </si>
  <si>
    <t>木</t>
  </si>
  <si>
    <t>金</t>
  </si>
  <si>
    <t>土</t>
  </si>
  <si>
    <t xml:space="preserve">    キャンプファイヤー実施希望</t>
    <rPh sb="13" eb="15">
      <t>ジッシ</t>
    </rPh>
    <rPh sb="15" eb="17">
      <t>キボウ</t>
    </rPh>
    <phoneticPr fontId="8"/>
  </si>
  <si>
    <t>食堂利用可能時間</t>
    <rPh sb="0" eb="2">
      <t>ショクドウ</t>
    </rPh>
    <rPh sb="2" eb="4">
      <t>リヨウ</t>
    </rPh>
    <rPh sb="4" eb="6">
      <t>カノウ</t>
    </rPh>
    <rPh sb="6" eb="8">
      <t>ジカン</t>
    </rPh>
    <phoneticPr fontId="3"/>
  </si>
  <si>
    <t>小・日帰</t>
    <rPh sb="0" eb="1">
      <t>ショウ</t>
    </rPh>
    <rPh sb="2" eb="4">
      <t>ヒガエ</t>
    </rPh>
    <phoneticPr fontId="8"/>
  </si>
  <si>
    <t>小・宿泊</t>
    <rPh sb="0" eb="1">
      <t>ショウ</t>
    </rPh>
    <rPh sb="2" eb="4">
      <t>シュクハク</t>
    </rPh>
    <phoneticPr fontId="8"/>
  </si>
  <si>
    <t>中・宿泊</t>
    <rPh sb="0" eb="1">
      <t>チュウ</t>
    </rPh>
    <rPh sb="2" eb="4">
      <t>シュクハク</t>
    </rPh>
    <phoneticPr fontId="8"/>
  </si>
  <si>
    <t>中・日帰</t>
    <rPh sb="0" eb="1">
      <t>チュウ</t>
    </rPh>
    <rPh sb="2" eb="4">
      <t>ヒガエ</t>
    </rPh>
    <phoneticPr fontId="8"/>
  </si>
  <si>
    <t>引・宿泊</t>
    <rPh sb="0" eb="1">
      <t>イン</t>
    </rPh>
    <rPh sb="2" eb="4">
      <t>シュクハク</t>
    </rPh>
    <phoneticPr fontId="8"/>
  </si>
  <si>
    <t>引率・日帰</t>
    <rPh sb="0" eb="2">
      <t>インソツ</t>
    </rPh>
    <rPh sb="3" eb="5">
      <t>ヒガエ</t>
    </rPh>
    <phoneticPr fontId="8"/>
  </si>
  <si>
    <t>一般・宿泊</t>
    <rPh sb="0" eb="2">
      <t>イッパン</t>
    </rPh>
    <rPh sb="3" eb="5">
      <t>シュクハク</t>
    </rPh>
    <phoneticPr fontId="8"/>
  </si>
  <si>
    <t>一般・日帰</t>
    <rPh sb="0" eb="2">
      <t>イッパン</t>
    </rPh>
    <rPh sb="3" eb="5">
      <t>ヒガエ</t>
    </rPh>
    <phoneticPr fontId="8"/>
  </si>
  <si>
    <t>減免なし</t>
    <rPh sb="0" eb="2">
      <t>ゲンメン</t>
    </rPh>
    <phoneticPr fontId="8"/>
  </si>
  <si>
    <t>小・泊</t>
    <rPh sb="0" eb="1">
      <t>ショウ</t>
    </rPh>
    <rPh sb="2" eb="3">
      <t>ハク</t>
    </rPh>
    <phoneticPr fontId="8"/>
  </si>
  <si>
    <t>小・日帰</t>
    <rPh sb="0" eb="1">
      <t>ショウ</t>
    </rPh>
    <rPh sb="2" eb="4">
      <t>ヒガエ</t>
    </rPh>
    <phoneticPr fontId="8"/>
  </si>
  <si>
    <t>中・泊</t>
    <rPh sb="0" eb="1">
      <t>チュウ</t>
    </rPh>
    <rPh sb="2" eb="3">
      <t>ハク</t>
    </rPh>
    <phoneticPr fontId="8"/>
  </si>
  <si>
    <t>中・日帰</t>
    <rPh sb="0" eb="1">
      <t>チュウ</t>
    </rPh>
    <rPh sb="2" eb="4">
      <t>ヒガエ</t>
    </rPh>
    <phoneticPr fontId="8"/>
  </si>
  <si>
    <t>引・泊</t>
    <rPh sb="0" eb="1">
      <t>イン</t>
    </rPh>
    <phoneticPr fontId="8"/>
  </si>
  <si>
    <t>引・日帰</t>
    <rPh sb="0" eb="1">
      <t>イン</t>
    </rPh>
    <rPh sb="2" eb="4">
      <t>ヒガエ</t>
    </rPh>
    <phoneticPr fontId="8"/>
  </si>
  <si>
    <t>一般・日帰</t>
    <rPh sb="0" eb="2">
      <t>イッパン</t>
    </rPh>
    <rPh sb="3" eb="5">
      <t>ヒガエ</t>
    </rPh>
    <phoneticPr fontId="8"/>
  </si>
  <si>
    <t>一般・泊</t>
    <rPh sb="0" eb="2">
      <t>イッパン</t>
    </rPh>
    <rPh sb="3" eb="4">
      <t>ハク</t>
    </rPh>
    <phoneticPr fontId="8"/>
  </si>
  <si>
    <t>ソート用No</t>
    <rPh sb="3" eb="4">
      <t>ヨウ</t>
    </rPh>
    <phoneticPr fontId="8"/>
  </si>
  <si>
    <t>利用区分</t>
    <rPh sb="0" eb="2">
      <t>リヨウ</t>
    </rPh>
    <rPh sb="2" eb="4">
      <t>クブン</t>
    </rPh>
    <phoneticPr fontId="8"/>
  </si>
  <si>
    <t>利用者数</t>
    <rPh sb="0" eb="2">
      <t>リヨウ</t>
    </rPh>
    <rPh sb="2" eb="3">
      <t>シャ</t>
    </rPh>
    <rPh sb="3" eb="4">
      <t>スウ</t>
    </rPh>
    <phoneticPr fontId="8"/>
  </si>
  <si>
    <t>小泊/</t>
    <rPh sb="0" eb="1">
      <t>ショウ</t>
    </rPh>
    <rPh sb="1" eb="2">
      <t>トマリ</t>
    </rPh>
    <phoneticPr fontId="8"/>
  </si>
  <si>
    <t>小日帰/</t>
    <rPh sb="0" eb="1">
      <t>ショウ</t>
    </rPh>
    <rPh sb="1" eb="3">
      <t>ヒガエ</t>
    </rPh>
    <phoneticPr fontId="8"/>
  </si>
  <si>
    <t>中泊/</t>
    <rPh sb="0" eb="1">
      <t>チュウ</t>
    </rPh>
    <rPh sb="1" eb="2">
      <t>ハク</t>
    </rPh>
    <phoneticPr fontId="8"/>
  </si>
  <si>
    <t>中日帰/</t>
    <rPh sb="0" eb="1">
      <t>チュウ</t>
    </rPh>
    <rPh sb="1" eb="3">
      <t>ヒガエ</t>
    </rPh>
    <phoneticPr fontId="8"/>
  </si>
  <si>
    <t>引泊/</t>
    <rPh sb="0" eb="1">
      <t>イン</t>
    </rPh>
    <rPh sb="1" eb="2">
      <t>ハク</t>
    </rPh>
    <phoneticPr fontId="8"/>
  </si>
  <si>
    <t>引日帰/</t>
    <rPh sb="0" eb="1">
      <t>イン</t>
    </rPh>
    <rPh sb="1" eb="3">
      <t>ヒガエ</t>
    </rPh>
    <phoneticPr fontId="8"/>
  </si>
  <si>
    <t>一般泊/</t>
    <rPh sb="0" eb="2">
      <t>イッパン</t>
    </rPh>
    <rPh sb="2" eb="3">
      <t>ハク</t>
    </rPh>
    <phoneticPr fontId="8"/>
  </si>
  <si>
    <t>一般日帰/</t>
    <rPh sb="0" eb="2">
      <t>イッパン</t>
    </rPh>
    <rPh sb="2" eb="3">
      <t>ニチ</t>
    </rPh>
    <rPh sb="3" eb="4">
      <t>カエ</t>
    </rPh>
    <phoneticPr fontId="8"/>
  </si>
  <si>
    <t>小・宿【人数】</t>
    <rPh sb="0" eb="1">
      <t>ショウ</t>
    </rPh>
    <rPh sb="2" eb="3">
      <t>シュク</t>
    </rPh>
    <rPh sb="4" eb="6">
      <t>ニンズウ</t>
    </rPh>
    <phoneticPr fontId="8"/>
  </si>
  <si>
    <t>中・宿</t>
    <rPh sb="0" eb="1">
      <t>チュウ</t>
    </rPh>
    <rPh sb="2" eb="3">
      <t>ヤド</t>
    </rPh>
    <phoneticPr fontId="8"/>
  </si>
  <si>
    <t>引・宿</t>
    <rPh sb="0" eb="1">
      <t>イン</t>
    </rPh>
    <rPh sb="2" eb="3">
      <t>ヤド</t>
    </rPh>
    <phoneticPr fontId="8"/>
  </si>
  <si>
    <t>一般・宿</t>
    <rPh sb="0" eb="2">
      <t>イッパン</t>
    </rPh>
    <rPh sb="3" eb="4">
      <t>ヤド</t>
    </rPh>
    <phoneticPr fontId="8"/>
  </si>
  <si>
    <t>人数カウント表</t>
    <rPh sb="0" eb="2">
      <t>ニンズウ</t>
    </rPh>
    <rPh sb="6" eb="7">
      <t>ヒョウ</t>
    </rPh>
    <phoneticPr fontId="8"/>
  </si>
  <si>
    <t>計</t>
    <rPh sb="0" eb="1">
      <t>ケイ</t>
    </rPh>
    <phoneticPr fontId="8"/>
  </si>
  <si>
    <t>利用区分
パターンNo</t>
    <rPh sb="0" eb="2">
      <t>リヨウ</t>
    </rPh>
    <rPh sb="2" eb="4">
      <t>クブン</t>
    </rPh>
    <phoneticPr fontId="8"/>
  </si>
  <si>
    <t>減免者
No</t>
    <rPh sb="0" eb="2">
      <t>ゲンメン</t>
    </rPh>
    <rPh sb="2" eb="3">
      <t>シャ</t>
    </rPh>
    <phoneticPr fontId="8"/>
  </si>
  <si>
    <t>ソートNo</t>
    <phoneticPr fontId="8"/>
  </si>
  <si>
    <t>【減免申請書】　記載用シート</t>
    <rPh sb="1" eb="3">
      <t>ゲンメン</t>
    </rPh>
    <rPh sb="3" eb="6">
      <t>シンセイショ</t>
    </rPh>
    <rPh sb="8" eb="10">
      <t>キサイ</t>
    </rPh>
    <rPh sb="10" eb="11">
      <t>ヨウ</t>
    </rPh>
    <phoneticPr fontId="8"/>
  </si>
  <si>
    <t>【利用者名簿】　記載用シート</t>
    <rPh sb="1" eb="4">
      <t>リヨウシャ</t>
    </rPh>
    <rPh sb="4" eb="6">
      <t>メイボ</t>
    </rPh>
    <phoneticPr fontId="8"/>
  </si>
  <si>
    <t>金額</t>
    <rPh sb="0" eb="2">
      <t>キンガク</t>
    </rPh>
    <phoneticPr fontId="8"/>
  </si>
  <si>
    <t>施設利用
金額</t>
    <rPh sb="0" eb="2">
      <t>シセツ</t>
    </rPh>
    <rPh sb="2" eb="4">
      <t>リヨウ</t>
    </rPh>
    <rPh sb="5" eb="7">
      <t>キンガク</t>
    </rPh>
    <phoneticPr fontId="8"/>
  </si>
  <si>
    <t>準</t>
    <rPh sb="0" eb="1">
      <t>ジュン</t>
    </rPh>
    <phoneticPr fontId="31"/>
  </si>
  <si>
    <t>特</t>
    <rPh sb="0" eb="1">
      <t>トク</t>
    </rPh>
    <phoneticPr fontId="31"/>
  </si>
  <si>
    <t>身</t>
    <rPh sb="0" eb="1">
      <t>ミ</t>
    </rPh>
    <phoneticPr fontId="31"/>
  </si>
  <si>
    <t>療</t>
    <rPh sb="0" eb="1">
      <t>リョウ</t>
    </rPh>
    <phoneticPr fontId="31"/>
  </si>
  <si>
    <t>精</t>
    <rPh sb="0" eb="1">
      <t>セイ</t>
    </rPh>
    <phoneticPr fontId="31"/>
  </si>
  <si>
    <t>介添</t>
    <rPh sb="0" eb="2">
      <t>カイゾエ</t>
    </rPh>
    <phoneticPr fontId="31"/>
  </si>
  <si>
    <t>減免判定データ</t>
    <rPh sb="0" eb="2">
      <t>ゲンメン</t>
    </rPh>
    <rPh sb="2" eb="4">
      <t>ハンテイ</t>
    </rPh>
    <phoneticPr fontId="31"/>
  </si>
  <si>
    <t>施設使用料減免【日帰り】</t>
    <rPh sb="0" eb="2">
      <t>シセツ</t>
    </rPh>
    <rPh sb="2" eb="4">
      <t>シヨウ</t>
    </rPh>
    <rPh sb="4" eb="5">
      <t>リョウ</t>
    </rPh>
    <rPh sb="5" eb="7">
      <t>ゲンメン</t>
    </rPh>
    <rPh sb="8" eb="10">
      <t>ヒガエ</t>
    </rPh>
    <phoneticPr fontId="8"/>
  </si>
  <si>
    <t>施設使用料減免【宿泊】</t>
    <rPh sb="0" eb="5">
      <t>シセツシヨウリョウ</t>
    </rPh>
    <rPh sb="5" eb="7">
      <t>ゲンメン</t>
    </rPh>
    <rPh sb="8" eb="10">
      <t>シュクハク</t>
    </rPh>
    <phoneticPr fontId="8"/>
  </si>
  <si>
    <t>合計延日数</t>
    <rPh sb="0" eb="2">
      <t>ゴウケイ</t>
    </rPh>
    <rPh sb="2" eb="3">
      <t>ノ</t>
    </rPh>
    <rPh sb="3" eb="5">
      <t>ニッスウ</t>
    </rPh>
    <phoneticPr fontId="8"/>
  </si>
  <si>
    <t xml:space="preserve">    基準を超える使用を希望</t>
    <rPh sb="4" eb="6">
      <t>キジュン</t>
    </rPh>
    <rPh sb="7" eb="8">
      <t>コ</t>
    </rPh>
    <rPh sb="10" eb="12">
      <t>シヨウ</t>
    </rPh>
    <rPh sb="13" eb="15">
      <t>キボウ</t>
    </rPh>
    <phoneticPr fontId="3"/>
  </si>
  <si>
    <t xml:space="preserve">    希望しない</t>
    <rPh sb="4" eb="6">
      <t>キボウ</t>
    </rPh>
    <phoneticPr fontId="3"/>
  </si>
  <si>
    <t xml:space="preserve">  希望する</t>
    <rPh sb="2" eb="4">
      <t>キボウ</t>
    </rPh>
    <phoneticPr fontId="3"/>
  </si>
  <si>
    <t xml:space="preserve">     有</t>
    <rPh sb="5" eb="6">
      <t>ユウ</t>
    </rPh>
    <phoneticPr fontId="3"/>
  </si>
  <si>
    <t xml:space="preserve">     無</t>
    <rPh sb="5" eb="6">
      <t>ム</t>
    </rPh>
    <phoneticPr fontId="3"/>
  </si>
  <si>
    <t>住所①</t>
    <rPh sb="0" eb="2">
      <t>ジュウショ</t>
    </rPh>
    <phoneticPr fontId="3"/>
  </si>
  <si>
    <t>住所②</t>
    <rPh sb="0" eb="2">
      <t>ジュウショ</t>
    </rPh>
    <phoneticPr fontId="8"/>
  </si>
  <si>
    <t>札幌市中央区大通東</t>
    <rPh sb="0" eb="3">
      <t>サッポロシ</t>
    </rPh>
    <rPh sb="3" eb="6">
      <t>チュウオウク</t>
    </rPh>
    <rPh sb="6" eb="8">
      <t>オオドオリ</t>
    </rPh>
    <rPh sb="8" eb="9">
      <t>ヒガシ</t>
    </rPh>
    <phoneticPr fontId="3"/>
  </si>
  <si>
    <t>６丁目１２番地</t>
    <phoneticPr fontId="8"/>
  </si>
  <si>
    <t>札幌市中央区南１４条西</t>
    <rPh sb="0" eb="3">
      <t>サッポロシ</t>
    </rPh>
    <rPh sb="3" eb="6">
      <t>チュウオウク</t>
    </rPh>
    <rPh sb="6" eb="7">
      <t>ミナミ</t>
    </rPh>
    <rPh sb="9" eb="10">
      <t>ジョウ</t>
    </rPh>
    <rPh sb="10" eb="11">
      <t>ニシ</t>
    </rPh>
    <phoneticPr fontId="8"/>
  </si>
  <si>
    <t>１０丁目１番地</t>
    <phoneticPr fontId="8"/>
  </si>
  <si>
    <t>札幌市中央区南１０条西</t>
    <rPh sb="0" eb="3">
      <t>サッポロシ</t>
    </rPh>
    <rPh sb="3" eb="6">
      <t>チュウオウク</t>
    </rPh>
    <rPh sb="6" eb="7">
      <t>ミナミ</t>
    </rPh>
    <rPh sb="9" eb="10">
      <t>ジョウ</t>
    </rPh>
    <rPh sb="10" eb="11">
      <t>ニシ</t>
    </rPh>
    <phoneticPr fontId="8"/>
  </si>
  <si>
    <t>１７丁目１－１</t>
    <phoneticPr fontId="8"/>
  </si>
  <si>
    <t>札幌市中央区北8条西</t>
    <rPh sb="0" eb="3">
      <t>サッポロシ</t>
    </rPh>
    <rPh sb="3" eb="6">
      <t>チュウオウク</t>
    </rPh>
    <rPh sb="6" eb="7">
      <t>キタ</t>
    </rPh>
    <rPh sb="8" eb="9">
      <t>ジョウ</t>
    </rPh>
    <rPh sb="9" eb="10">
      <t>ニシ</t>
    </rPh>
    <phoneticPr fontId="8"/>
  </si>
  <si>
    <t>17丁目</t>
    <phoneticPr fontId="8"/>
  </si>
  <si>
    <t>札幌市中央区南２１条西</t>
    <rPh sb="0" eb="3">
      <t>サッポロシ</t>
    </rPh>
    <rPh sb="3" eb="6">
      <t>チュウオウク</t>
    </rPh>
    <rPh sb="6" eb="7">
      <t>ミナミ</t>
    </rPh>
    <rPh sb="9" eb="10">
      <t>ジョウ</t>
    </rPh>
    <rPh sb="10" eb="11">
      <t>ニシ</t>
    </rPh>
    <phoneticPr fontId="8"/>
  </si>
  <si>
    <t>５丁目１－１</t>
  </si>
  <si>
    <t>５丁目１－１</t>
    <phoneticPr fontId="8"/>
  </si>
  <si>
    <t>札幌市中央区北１条西</t>
    <rPh sb="0" eb="3">
      <t>サッポロシ</t>
    </rPh>
    <rPh sb="3" eb="6">
      <t>チュウオウク</t>
    </rPh>
    <rPh sb="6" eb="7">
      <t>キタ</t>
    </rPh>
    <rPh sb="8" eb="9">
      <t>ジョウ</t>
    </rPh>
    <rPh sb="9" eb="10">
      <t>ニシ</t>
    </rPh>
    <phoneticPr fontId="8"/>
  </si>
  <si>
    <t>２５丁目１番８号</t>
    <phoneticPr fontId="8"/>
  </si>
  <si>
    <t>札幌市中央区南</t>
    <phoneticPr fontId="8"/>
  </si>
  <si>
    <t>２条西１５丁目</t>
    <phoneticPr fontId="8"/>
  </si>
  <si>
    <t>札幌市中央区北８条西</t>
    <rPh sb="0" eb="3">
      <t>サッポロシ</t>
    </rPh>
    <rPh sb="3" eb="6">
      <t>チュウオウク</t>
    </rPh>
    <rPh sb="6" eb="7">
      <t>キタ</t>
    </rPh>
    <rPh sb="8" eb="9">
      <t>ジョウ</t>
    </rPh>
    <rPh sb="9" eb="10">
      <t>ニシ</t>
    </rPh>
    <phoneticPr fontId="8"/>
  </si>
  <si>
    <t>２５丁目２番１号</t>
    <phoneticPr fontId="8"/>
  </si>
  <si>
    <t>札幌市中央区南１０条</t>
    <rPh sb="0" eb="3">
      <t>サッポロシ</t>
    </rPh>
    <rPh sb="3" eb="6">
      <t>チュウオウク</t>
    </rPh>
    <rPh sb="6" eb="7">
      <t>ミナミ</t>
    </rPh>
    <rPh sb="9" eb="10">
      <t>ジョウ</t>
    </rPh>
    <phoneticPr fontId="8"/>
  </si>
  <si>
    <t>西２３丁目３－１</t>
    <phoneticPr fontId="8"/>
  </si>
  <si>
    <t>札幌市中央区宮の森３条</t>
    <phoneticPr fontId="8"/>
  </si>
  <si>
    <t>１３丁目６－２０</t>
    <phoneticPr fontId="8"/>
  </si>
  <si>
    <t>札幌市中央区宮の森４条</t>
    <phoneticPr fontId="8"/>
  </si>
  <si>
    <t>１１丁目４－１</t>
    <phoneticPr fontId="8"/>
  </si>
  <si>
    <t>札幌市中央区宮の森４条</t>
    <phoneticPr fontId="8"/>
  </si>
  <si>
    <t>６丁目１－１</t>
    <phoneticPr fontId="8"/>
  </si>
  <si>
    <t>札幌市中央区南１８条</t>
    <phoneticPr fontId="8"/>
  </si>
  <si>
    <t>１５丁目１－１</t>
    <phoneticPr fontId="8"/>
  </si>
  <si>
    <t>札幌市中央区南２９条西</t>
    <phoneticPr fontId="8"/>
  </si>
  <si>
    <t>１２丁目１－１</t>
    <phoneticPr fontId="8"/>
  </si>
  <si>
    <t>札幌市中央区南３条西</t>
    <phoneticPr fontId="8"/>
  </si>
  <si>
    <t>７丁目１番地</t>
    <phoneticPr fontId="8"/>
  </si>
  <si>
    <t>７丁目１－３０</t>
    <phoneticPr fontId="8"/>
  </si>
  <si>
    <t>札幌市西区山の手１条</t>
    <phoneticPr fontId="8"/>
  </si>
  <si>
    <t>９丁目６番１号</t>
    <phoneticPr fontId="8"/>
  </si>
  <si>
    <t>札幌市西区山の手５条</t>
    <phoneticPr fontId="8"/>
  </si>
  <si>
    <t>６丁目１番１号</t>
    <phoneticPr fontId="8"/>
  </si>
  <si>
    <t>札幌市西区山の手５条</t>
    <phoneticPr fontId="8"/>
  </si>
  <si>
    <t>８丁目１番３８号</t>
    <phoneticPr fontId="8"/>
  </si>
  <si>
    <t>札幌市西区西野１条</t>
    <phoneticPr fontId="8"/>
  </si>
  <si>
    <t>７丁目４－１</t>
    <phoneticPr fontId="8"/>
  </si>
  <si>
    <t>札幌市西区西野４条</t>
    <phoneticPr fontId="8"/>
  </si>
  <si>
    <t>３丁目７番１号</t>
    <phoneticPr fontId="8"/>
  </si>
  <si>
    <t>札幌市西区西野８条</t>
    <phoneticPr fontId="8"/>
  </si>
  <si>
    <t>４丁目４番１号</t>
    <phoneticPr fontId="8"/>
  </si>
  <si>
    <t>７丁目１－１</t>
    <phoneticPr fontId="8"/>
  </si>
  <si>
    <t>札幌市西区二十四軒２条</t>
    <phoneticPr fontId="8"/>
  </si>
  <si>
    <t>３丁目１－３７</t>
    <phoneticPr fontId="8"/>
  </si>
  <si>
    <t>札幌市西区八軒３条西</t>
    <phoneticPr fontId="8"/>
  </si>
  <si>
    <t>５丁目１番１号</t>
    <phoneticPr fontId="8"/>
  </si>
  <si>
    <t>札幌市西区八軒４条西</t>
    <phoneticPr fontId="8"/>
  </si>
  <si>
    <t>１丁目１－８</t>
    <phoneticPr fontId="8"/>
  </si>
  <si>
    <t>札幌市西区八軒７条東</t>
    <phoneticPr fontId="8"/>
  </si>
  <si>
    <t>１丁目１－１</t>
    <phoneticPr fontId="8"/>
  </si>
  <si>
    <t>札幌市西区八軒８条西</t>
    <phoneticPr fontId="8"/>
  </si>
  <si>
    <t>札幌市西区発寒１０条</t>
    <phoneticPr fontId="8"/>
  </si>
  <si>
    <t>４丁目１番６２号</t>
    <phoneticPr fontId="8"/>
  </si>
  <si>
    <t>札幌市西区発寒１１条</t>
    <phoneticPr fontId="8"/>
  </si>
  <si>
    <t>６丁目２番１号</t>
    <phoneticPr fontId="8"/>
  </si>
  <si>
    <t>札幌市西区発寒１５条</t>
    <phoneticPr fontId="8"/>
  </si>
  <si>
    <t>２丁目２－１</t>
    <phoneticPr fontId="8"/>
  </si>
  <si>
    <t>札幌市西区発寒２条</t>
    <phoneticPr fontId="8"/>
  </si>
  <si>
    <t>４丁目１－１</t>
    <phoneticPr fontId="8"/>
  </si>
  <si>
    <t>札幌市西区発寒５条</t>
    <phoneticPr fontId="8"/>
  </si>
  <si>
    <t>７丁目１－２</t>
    <phoneticPr fontId="8"/>
  </si>
  <si>
    <t>札幌市西区発寒７条</t>
    <phoneticPr fontId="8"/>
  </si>
  <si>
    <t>１３丁目２－１</t>
    <phoneticPr fontId="8"/>
  </si>
  <si>
    <t>札幌市西区福井</t>
    <phoneticPr fontId="8"/>
  </si>
  <si>
    <t>６丁目１１－１</t>
    <phoneticPr fontId="8"/>
  </si>
  <si>
    <t>札幌市西区平和３条</t>
    <phoneticPr fontId="8"/>
  </si>
  <si>
    <t>８丁目２－１</t>
    <phoneticPr fontId="8"/>
  </si>
  <si>
    <t>札幌市清田区清田１条</t>
    <phoneticPr fontId="8"/>
  </si>
  <si>
    <t>４丁目３番３０号</t>
    <phoneticPr fontId="8"/>
  </si>
  <si>
    <t>札幌市北区北９条西</t>
    <phoneticPr fontId="90"/>
  </si>
  <si>
    <t>１丁目１</t>
    <phoneticPr fontId="8"/>
  </si>
  <si>
    <t>札幌市清田区清田５条</t>
    <phoneticPr fontId="90"/>
  </si>
  <si>
    <t>２丁目１８－１</t>
    <phoneticPr fontId="8"/>
  </si>
  <si>
    <t>札幌市清田区清田７条</t>
    <phoneticPr fontId="8"/>
  </si>
  <si>
    <t>３丁目１２－３０</t>
    <phoneticPr fontId="8"/>
  </si>
  <si>
    <t>札幌市清田区美しが丘１条</t>
    <phoneticPr fontId="8"/>
  </si>
  <si>
    <t>１丁目１－１０</t>
    <phoneticPr fontId="8"/>
  </si>
  <si>
    <t>札幌市清田区美しが丘２条</t>
    <phoneticPr fontId="90"/>
  </si>
  <si>
    <t>５丁目１番１号</t>
    <phoneticPr fontId="8"/>
  </si>
  <si>
    <t>札幌市清田区美しが丘４条</t>
    <phoneticPr fontId="8"/>
  </si>
  <si>
    <t>５丁目８番１号</t>
    <phoneticPr fontId="8"/>
  </si>
  <si>
    <t>札幌市清田区平岡２条</t>
    <phoneticPr fontId="8"/>
  </si>
  <si>
    <t>６丁目２－１</t>
    <phoneticPr fontId="8"/>
  </si>
  <si>
    <t>札幌市清田区平岡５条</t>
    <phoneticPr fontId="8"/>
  </si>
  <si>
    <t>３丁目９番１号</t>
    <phoneticPr fontId="8"/>
  </si>
  <si>
    <t>札幌市清田区平岡９条</t>
    <phoneticPr fontId="8"/>
  </si>
  <si>
    <t>２丁目５番１号</t>
    <phoneticPr fontId="8"/>
  </si>
  <si>
    <t>札幌市清田区平岡公園東</t>
    <phoneticPr fontId="8"/>
  </si>
  <si>
    <t>５丁目９番１号</t>
    <phoneticPr fontId="8"/>
  </si>
  <si>
    <t>札幌市清田区北野２条</t>
    <phoneticPr fontId="8"/>
  </si>
  <si>
    <t>札幌市北区北３４条西</t>
    <phoneticPr fontId="8"/>
  </si>
  <si>
    <t>７丁目３番２号</t>
    <phoneticPr fontId="8"/>
  </si>
  <si>
    <t>札幌市北区北３１条西</t>
    <phoneticPr fontId="8"/>
  </si>
  <si>
    <t>９丁目２－１</t>
    <phoneticPr fontId="8"/>
  </si>
  <si>
    <t>札幌市北区北２７条西</t>
    <phoneticPr fontId="8"/>
  </si>
  <si>
    <t>１４丁目１－１</t>
    <phoneticPr fontId="8"/>
  </si>
  <si>
    <t>札幌市北区北２４条西</t>
    <phoneticPr fontId="8"/>
  </si>
  <si>
    <t>７丁目１－１</t>
    <phoneticPr fontId="8"/>
  </si>
  <si>
    <t>札幌市北区北１９条西</t>
    <phoneticPr fontId="8"/>
  </si>
  <si>
    <t>２丁目１番１号</t>
    <phoneticPr fontId="8"/>
  </si>
  <si>
    <t>札幌市北区百合が原</t>
    <phoneticPr fontId="90"/>
  </si>
  <si>
    <t>６丁目５番１号</t>
    <phoneticPr fontId="8"/>
  </si>
  <si>
    <t>札幌市北区屯田９条</t>
    <phoneticPr fontId="8"/>
  </si>
  <si>
    <t>３丁目４－１</t>
    <phoneticPr fontId="8"/>
  </si>
  <si>
    <t>札幌市北区屯田７条</t>
    <phoneticPr fontId="8"/>
  </si>
  <si>
    <t>６丁目２－２</t>
    <phoneticPr fontId="8"/>
  </si>
  <si>
    <t>札幌市北区屯田６条</t>
    <phoneticPr fontId="8"/>
  </si>
  <si>
    <t>１０丁目３番１号</t>
    <phoneticPr fontId="8"/>
  </si>
  <si>
    <t>札幌市北区屯田５条</t>
    <phoneticPr fontId="8"/>
  </si>
  <si>
    <t>４丁目６－１</t>
    <phoneticPr fontId="8"/>
  </si>
  <si>
    <t>札幌市北区東茨戸１条</t>
    <phoneticPr fontId="8"/>
  </si>
  <si>
    <t>２丁目２－１</t>
    <phoneticPr fontId="8"/>
  </si>
  <si>
    <t>札幌市北区太平１条</t>
    <phoneticPr fontId="8"/>
  </si>
  <si>
    <t>１丁目２－１</t>
    <phoneticPr fontId="8"/>
  </si>
  <si>
    <t>札幌市北区新川５条</t>
    <phoneticPr fontId="8"/>
  </si>
  <si>
    <t>１５丁目１－１</t>
    <phoneticPr fontId="8"/>
  </si>
  <si>
    <t>札幌市北区新川３条</t>
    <phoneticPr fontId="8"/>
  </si>
  <si>
    <t>３丁目２番１号</t>
    <phoneticPr fontId="8"/>
  </si>
  <si>
    <t>札幌市北区新琴似７条</t>
    <phoneticPr fontId="8"/>
  </si>
  <si>
    <t>３丁目２－１</t>
    <phoneticPr fontId="8"/>
  </si>
  <si>
    <t>札幌市北区新琴似５条</t>
    <phoneticPr fontId="8"/>
  </si>
  <si>
    <t>１１丁目４番１号</t>
    <phoneticPr fontId="8"/>
  </si>
  <si>
    <t>札幌市北区新琴似１条</t>
    <phoneticPr fontId="8"/>
  </si>
  <si>
    <t>３丁目１－１</t>
    <phoneticPr fontId="8"/>
  </si>
  <si>
    <t>１２丁目１番１号</t>
    <phoneticPr fontId="8"/>
  </si>
  <si>
    <t>札幌市北区新琴似１１条</t>
    <phoneticPr fontId="8"/>
  </si>
  <si>
    <t>６丁目１－１</t>
    <phoneticPr fontId="8"/>
  </si>
  <si>
    <t>札幌市北区新琴似１１条</t>
    <phoneticPr fontId="8"/>
  </si>
  <si>
    <t>１５丁目１番５号</t>
    <phoneticPr fontId="8"/>
  </si>
  <si>
    <t>札幌市北区新琴似１０条</t>
    <phoneticPr fontId="8"/>
  </si>
  <si>
    <t>１１丁目５－１</t>
    <phoneticPr fontId="8"/>
  </si>
  <si>
    <t>札幌市北区篠路５条</t>
    <phoneticPr fontId="8"/>
  </si>
  <si>
    <t>２丁目２番</t>
    <phoneticPr fontId="8"/>
  </si>
  <si>
    <t>札幌市北区篠路４条</t>
    <phoneticPr fontId="8"/>
  </si>
  <si>
    <t>９丁目３番１</t>
    <phoneticPr fontId="8"/>
  </si>
  <si>
    <t>札幌市北区篠路１条</t>
    <phoneticPr fontId="8"/>
  </si>
  <si>
    <t>２丁目６－２０</t>
    <phoneticPr fontId="8"/>
  </si>
  <si>
    <t>札幌市北区あいの里５条</t>
    <phoneticPr fontId="8"/>
  </si>
  <si>
    <t>３丁目１番１０号</t>
    <phoneticPr fontId="8"/>
  </si>
  <si>
    <t>札幌市北区あいの里３条</t>
    <phoneticPr fontId="90"/>
  </si>
  <si>
    <t>７丁目１１番１号</t>
    <phoneticPr fontId="8"/>
  </si>
  <si>
    <t>札幌市北区あいの里３条</t>
    <phoneticPr fontId="8"/>
  </si>
  <si>
    <t>６丁目２－１</t>
    <phoneticPr fontId="8"/>
  </si>
  <si>
    <t>札幌市北区あいの里２条</t>
    <phoneticPr fontId="90"/>
  </si>
  <si>
    <t>３丁目９－１</t>
    <phoneticPr fontId="8"/>
  </si>
  <si>
    <t>札幌市北区あいの里２条</t>
    <phoneticPr fontId="8"/>
  </si>
  <si>
    <t>１丁目２４－１</t>
    <phoneticPr fontId="8"/>
  </si>
  <si>
    <t>札幌市豊平区月寒西２条</t>
    <phoneticPr fontId="8"/>
  </si>
  <si>
    <t>札幌市豊平区月寒西４条</t>
    <phoneticPr fontId="90"/>
  </si>
  <si>
    <t>８丁目２－１</t>
    <phoneticPr fontId="8"/>
  </si>
  <si>
    <t>札幌市豊平区月寒東１条</t>
    <phoneticPr fontId="8"/>
  </si>
  <si>
    <t>１１丁目７－３２</t>
    <phoneticPr fontId="8"/>
  </si>
  <si>
    <t>１６丁目３－１</t>
    <phoneticPr fontId="8"/>
  </si>
  <si>
    <t>札幌市豊平区月寒東３条</t>
    <phoneticPr fontId="8"/>
  </si>
  <si>
    <t>１０丁目１－１</t>
    <phoneticPr fontId="8"/>
  </si>
  <si>
    <t>札幌市豊平区月寒東４条</t>
    <phoneticPr fontId="8"/>
  </si>
  <si>
    <t>１８丁目１０－４３</t>
    <phoneticPr fontId="8"/>
  </si>
  <si>
    <t>札幌市豊平区水車町</t>
    <phoneticPr fontId="8"/>
  </si>
  <si>
    <t>３丁目１－２２</t>
    <phoneticPr fontId="8"/>
  </si>
  <si>
    <t>札幌市豊平区西岡２条</t>
    <phoneticPr fontId="8"/>
  </si>
  <si>
    <t>９丁目１－１</t>
    <phoneticPr fontId="8"/>
  </si>
  <si>
    <t>札幌市豊平区西岡３条</t>
    <phoneticPr fontId="8"/>
  </si>
  <si>
    <t>６丁目７番２０号</t>
    <phoneticPr fontId="8"/>
  </si>
  <si>
    <t>札幌市豊平区西岡４条</t>
    <phoneticPr fontId="8"/>
  </si>
  <si>
    <t>１２丁目７－１</t>
    <phoneticPr fontId="8"/>
  </si>
  <si>
    <t>札幌市豊平区中の島２条</t>
    <phoneticPr fontId="8"/>
  </si>
  <si>
    <t>１丁目１番２２号</t>
    <phoneticPr fontId="8"/>
  </si>
  <si>
    <t>札幌市豊平区美園１条</t>
    <phoneticPr fontId="8"/>
  </si>
  <si>
    <t>４丁目１－１</t>
    <phoneticPr fontId="8"/>
  </si>
  <si>
    <t>札幌市豊平区美園５条</t>
    <phoneticPr fontId="8"/>
  </si>
  <si>
    <t>札幌市豊平区福住３条</t>
    <phoneticPr fontId="8"/>
  </si>
  <si>
    <t>５丁目１番１号</t>
    <phoneticPr fontId="8"/>
  </si>
  <si>
    <t>札幌市豊平区平岸１条</t>
    <phoneticPr fontId="8"/>
  </si>
  <si>
    <t>１５丁目２番</t>
    <phoneticPr fontId="8"/>
  </si>
  <si>
    <t>札幌市豊平区平岸２条</t>
    <phoneticPr fontId="8"/>
  </si>
  <si>
    <t>１４丁目１－２８</t>
    <phoneticPr fontId="8"/>
  </si>
  <si>
    <t>札幌市豊平区平岸４条</t>
    <phoneticPr fontId="8"/>
  </si>
  <si>
    <t>１１丁目６－１</t>
    <phoneticPr fontId="8"/>
  </si>
  <si>
    <t>札幌市豊平区平岸５条</t>
    <phoneticPr fontId="8"/>
  </si>
  <si>
    <t>１８丁目１－１</t>
    <phoneticPr fontId="8"/>
  </si>
  <si>
    <t>７丁目２番２１号</t>
    <phoneticPr fontId="8"/>
  </si>
  <si>
    <t>札幌市豊平区豊平１条</t>
    <phoneticPr fontId="8"/>
  </si>
  <si>
    <t>１２丁目１－１</t>
    <phoneticPr fontId="8"/>
  </si>
  <si>
    <t>札幌市豊平区豊平５条</t>
    <phoneticPr fontId="8"/>
  </si>
  <si>
    <t>札幌市白石区菊水６条</t>
    <phoneticPr fontId="8"/>
  </si>
  <si>
    <t>３丁目２－６５</t>
    <phoneticPr fontId="8"/>
  </si>
  <si>
    <t>札幌市白石区菊水８条</t>
    <phoneticPr fontId="8"/>
  </si>
  <si>
    <t>１丁目３－２５</t>
    <phoneticPr fontId="8"/>
  </si>
  <si>
    <t>札幌市白石区菊水元町２条</t>
    <phoneticPr fontId="8"/>
  </si>
  <si>
    <t>３丁目２番１４号</t>
    <phoneticPr fontId="8"/>
  </si>
  <si>
    <t>札幌市白石区菊水上町１条</t>
    <phoneticPr fontId="8"/>
  </si>
  <si>
    <t>３丁目５２</t>
    <phoneticPr fontId="8"/>
  </si>
  <si>
    <t>札幌市白石区川下４条</t>
    <phoneticPr fontId="8"/>
  </si>
  <si>
    <t>３丁目１番１号</t>
    <phoneticPr fontId="8"/>
  </si>
  <si>
    <t>札幌市白石区川北４条</t>
    <phoneticPr fontId="8"/>
  </si>
  <si>
    <t>札幌市白石区中央３条</t>
    <phoneticPr fontId="8"/>
  </si>
  <si>
    <t>５丁目２番２２号</t>
    <phoneticPr fontId="8"/>
  </si>
  <si>
    <t>札幌市白石区東札幌４条</t>
    <phoneticPr fontId="8"/>
  </si>
  <si>
    <t>５丁目４－２０</t>
    <phoneticPr fontId="8"/>
  </si>
  <si>
    <t>札幌市白石区南郷通</t>
    <phoneticPr fontId="8"/>
  </si>
  <si>
    <t>１０丁目南３－１</t>
    <phoneticPr fontId="8"/>
  </si>
  <si>
    <t>札幌市白石区南郷通</t>
    <phoneticPr fontId="8"/>
  </si>
  <si>
    <t>２丁目南６－３５</t>
    <phoneticPr fontId="8"/>
  </si>
  <si>
    <t>札幌市白石区平和通</t>
    <phoneticPr fontId="8"/>
  </si>
  <si>
    <t>９丁目南１－１</t>
    <phoneticPr fontId="8"/>
  </si>
  <si>
    <t>札幌市白石区米里１条</t>
    <phoneticPr fontId="8"/>
  </si>
  <si>
    <t>３丁目８－１</t>
    <phoneticPr fontId="8"/>
  </si>
  <si>
    <t>札幌市白石区北郷３条</t>
    <phoneticPr fontId="8"/>
  </si>
  <si>
    <t>１１丁目７－１</t>
    <phoneticPr fontId="8"/>
  </si>
  <si>
    <t>札幌市白石区北郷４条</t>
    <phoneticPr fontId="8"/>
  </si>
  <si>
    <t>５丁目１－１</t>
    <phoneticPr fontId="8"/>
  </si>
  <si>
    <t>札幌市白石区北郷６条</t>
    <phoneticPr fontId="8"/>
  </si>
  <si>
    <t>３丁目５番２号</t>
    <phoneticPr fontId="8"/>
  </si>
  <si>
    <t>札幌市白石区本郷通</t>
    <phoneticPr fontId="8"/>
  </si>
  <si>
    <t>４丁目南３－１</t>
    <phoneticPr fontId="8"/>
  </si>
  <si>
    <t>札幌市白石区本通</t>
    <phoneticPr fontId="8"/>
  </si>
  <si>
    <t>１４丁目南６番１号</t>
    <phoneticPr fontId="8"/>
  </si>
  <si>
    <t>札幌市白石区本通</t>
    <phoneticPr fontId="8"/>
  </si>
  <si>
    <t>１５丁目北３－１</t>
    <phoneticPr fontId="8"/>
  </si>
  <si>
    <t>１８丁目南１－１</t>
    <phoneticPr fontId="8"/>
  </si>
  <si>
    <t>札幌市白石区本通</t>
    <phoneticPr fontId="8"/>
  </si>
  <si>
    <t>１丁目北４番１号</t>
    <phoneticPr fontId="8"/>
  </si>
  <si>
    <t>札幌市南区簾舞１条</t>
    <phoneticPr fontId="8"/>
  </si>
  <si>
    <t>４丁目２番１号</t>
    <phoneticPr fontId="8"/>
  </si>
  <si>
    <t>札幌市南区北ノ沢</t>
    <phoneticPr fontId="8"/>
  </si>
  <si>
    <t>１７２７番地５</t>
    <phoneticPr fontId="8"/>
  </si>
  <si>
    <t>札幌市南区南沢３条</t>
    <phoneticPr fontId="8"/>
  </si>
  <si>
    <t>２丁目１８－１</t>
    <phoneticPr fontId="8"/>
  </si>
  <si>
    <t>札幌市南区南３１条西</t>
    <phoneticPr fontId="8"/>
  </si>
  <si>
    <t>９丁目２－１</t>
    <phoneticPr fontId="8"/>
  </si>
  <si>
    <t>札幌市南区南３０条西</t>
    <phoneticPr fontId="8"/>
  </si>
  <si>
    <t>８丁目１－５０</t>
    <phoneticPr fontId="8"/>
  </si>
  <si>
    <t>札幌市南区藤野４条</t>
    <phoneticPr fontId="8"/>
  </si>
  <si>
    <t>６丁目２６－１</t>
    <phoneticPr fontId="8"/>
  </si>
  <si>
    <t>札幌市南区藤野２条</t>
    <phoneticPr fontId="8"/>
  </si>
  <si>
    <t>７丁目７－１</t>
    <phoneticPr fontId="8"/>
  </si>
  <si>
    <t>札幌市南区定山渓温泉東</t>
    <phoneticPr fontId="8"/>
  </si>
  <si>
    <t>４丁目３０８番地</t>
    <phoneticPr fontId="8"/>
  </si>
  <si>
    <t>札幌市南区川沿７条</t>
    <phoneticPr fontId="8"/>
  </si>
  <si>
    <t>２丁目３－１</t>
    <phoneticPr fontId="8"/>
  </si>
  <si>
    <t>札幌市南区川沿２条</t>
    <phoneticPr fontId="8"/>
  </si>
  <si>
    <t>札幌市南区川沿１８条</t>
    <phoneticPr fontId="8"/>
  </si>
  <si>
    <t>２丁目１番１５号</t>
    <phoneticPr fontId="8"/>
  </si>
  <si>
    <t>札幌市南区石山東</t>
    <phoneticPr fontId="90"/>
  </si>
  <si>
    <t>５丁目６－１</t>
    <phoneticPr fontId="8"/>
  </si>
  <si>
    <t>札幌市南区石山</t>
    <phoneticPr fontId="8"/>
  </si>
  <si>
    <t>５２８番地</t>
    <phoneticPr fontId="8"/>
  </si>
  <si>
    <t>札幌市南区澄川５条</t>
    <phoneticPr fontId="8"/>
  </si>
  <si>
    <t>４丁目１－１</t>
    <phoneticPr fontId="8"/>
  </si>
  <si>
    <t>札幌市南区澄川５条</t>
    <phoneticPr fontId="8"/>
  </si>
  <si>
    <t>１３丁目７－１</t>
    <phoneticPr fontId="8"/>
  </si>
  <si>
    <t>札幌市南区澄川２条</t>
    <phoneticPr fontId="8"/>
  </si>
  <si>
    <t>５丁目７－２</t>
    <phoneticPr fontId="8"/>
  </si>
  <si>
    <t>札幌市南区真駒内泉町</t>
    <phoneticPr fontId="8"/>
  </si>
  <si>
    <t>３丁目１３－１</t>
    <phoneticPr fontId="8"/>
  </si>
  <si>
    <t>札幌市南区真駒内曙町</t>
    <phoneticPr fontId="8"/>
  </si>
  <si>
    <t>２丁目１－１</t>
    <phoneticPr fontId="8"/>
  </si>
  <si>
    <t>札幌市南区真駒内</t>
    <phoneticPr fontId="8"/>
  </si>
  <si>
    <t>１４３番地</t>
    <phoneticPr fontId="8"/>
  </si>
  <si>
    <t>札幌市南区常盤６条</t>
    <phoneticPr fontId="8"/>
  </si>
  <si>
    <t>２丁目１０７番地</t>
    <phoneticPr fontId="8"/>
  </si>
  <si>
    <t>札幌市清田区北野３条</t>
    <phoneticPr fontId="8"/>
  </si>
  <si>
    <t>２丁目１０－１</t>
    <phoneticPr fontId="8"/>
  </si>
  <si>
    <t>札幌市清田区北野４条</t>
    <phoneticPr fontId="8"/>
  </si>
  <si>
    <t>５丁目４番８０号</t>
    <phoneticPr fontId="8"/>
  </si>
  <si>
    <t>札幌市清田区有明</t>
    <phoneticPr fontId="90"/>
  </si>
  <si>
    <t>１４１－２</t>
    <phoneticPr fontId="8"/>
  </si>
  <si>
    <t>札幌市清田区里塚２条</t>
    <phoneticPr fontId="8"/>
  </si>
  <si>
    <t>６丁目７番１号</t>
    <phoneticPr fontId="8"/>
  </si>
  <si>
    <t>札幌市手稲区金山３条</t>
    <rPh sb="5" eb="6">
      <t>ク</t>
    </rPh>
    <phoneticPr fontId="90"/>
  </si>
  <si>
    <t>２丁目８－６０</t>
  </si>
  <si>
    <t>札幌市手稲区稲穂４条</t>
    <phoneticPr fontId="90"/>
  </si>
  <si>
    <t>５丁目１２－５</t>
    <phoneticPr fontId="8"/>
  </si>
  <si>
    <t>札幌市手稲区手稲山口</t>
    <phoneticPr fontId="8"/>
  </si>
  <si>
    <t>６５３-２</t>
    <phoneticPr fontId="8"/>
  </si>
  <si>
    <t>札幌市手稲区手稲前田２条</t>
    <phoneticPr fontId="8"/>
  </si>
  <si>
    <t>１２丁目１番２号</t>
    <phoneticPr fontId="8"/>
  </si>
  <si>
    <t>札幌市手稲区手稲本町３条</t>
    <phoneticPr fontId="8"/>
  </si>
  <si>
    <t>２丁目６番１号</t>
    <phoneticPr fontId="8"/>
  </si>
  <si>
    <t>札幌市手稲区曙１１条</t>
    <phoneticPr fontId="8"/>
  </si>
  <si>
    <t>２丁目７番１号</t>
    <phoneticPr fontId="8"/>
  </si>
  <si>
    <t>札幌市手稲区新発寒２条</t>
    <phoneticPr fontId="8"/>
  </si>
  <si>
    <t>２丁目１１１５番地３０７</t>
    <phoneticPr fontId="8"/>
  </si>
  <si>
    <t>札幌市手稲区新発寒５条</t>
    <phoneticPr fontId="8"/>
  </si>
  <si>
    <t>４丁目２番１号</t>
    <phoneticPr fontId="8"/>
  </si>
  <si>
    <t>札幌市手稲区新発寒６条</t>
    <phoneticPr fontId="8"/>
  </si>
  <si>
    <t>６丁目３番１号</t>
    <phoneticPr fontId="8"/>
  </si>
  <si>
    <t>札幌市手稲区星置２条</t>
    <phoneticPr fontId="8"/>
  </si>
  <si>
    <t>１丁目６－１</t>
    <phoneticPr fontId="8"/>
  </si>
  <si>
    <t>札幌市手稲区西宮の沢２条</t>
    <phoneticPr fontId="8"/>
  </si>
  <si>
    <t>４丁目１５番１号</t>
    <phoneticPr fontId="8"/>
  </si>
  <si>
    <t>札幌市手稲区前田１０条</t>
    <phoneticPr fontId="8"/>
  </si>
  <si>
    <t>１８丁目４－１</t>
  </si>
  <si>
    <t>札幌市手稲区前田５条</t>
    <phoneticPr fontId="90"/>
  </si>
  <si>
    <t>札幌市手稲区前田６条</t>
    <phoneticPr fontId="8"/>
  </si>
  <si>
    <t>１１丁目３－１</t>
    <phoneticPr fontId="8"/>
  </si>
  <si>
    <t>札幌市手稲区前田８条</t>
    <phoneticPr fontId="8"/>
  </si>
  <si>
    <t>１２丁目２－１</t>
    <phoneticPr fontId="8"/>
  </si>
  <si>
    <t>札幌市手稲区富丘１条</t>
    <phoneticPr fontId="8"/>
  </si>
  <si>
    <t>６丁目４番１号</t>
    <phoneticPr fontId="8"/>
  </si>
  <si>
    <t>札幌市東区本町２条</t>
    <phoneticPr fontId="8"/>
  </si>
  <si>
    <t>１丁目２番３２号</t>
    <phoneticPr fontId="8"/>
  </si>
  <si>
    <t>札幌市東区北９条東</t>
    <phoneticPr fontId="8"/>
  </si>
  <si>
    <t>１３丁目１番１号</t>
    <phoneticPr fontId="8"/>
  </si>
  <si>
    <t>札幌市東区北５１条東</t>
    <phoneticPr fontId="8"/>
  </si>
  <si>
    <t>１０丁目１番１号</t>
    <phoneticPr fontId="8"/>
  </si>
  <si>
    <t>札幌市東区北４７条東</t>
    <phoneticPr fontId="8"/>
  </si>
  <si>
    <t>札幌市東区北４６条東</t>
    <phoneticPr fontId="8"/>
  </si>
  <si>
    <t>１３丁目</t>
    <phoneticPr fontId="8"/>
  </si>
  <si>
    <t>札幌市東区北４２条東</t>
    <phoneticPr fontId="8"/>
  </si>
  <si>
    <t>１０丁目２番３号</t>
    <phoneticPr fontId="8"/>
  </si>
  <si>
    <t>札幌市東区北３９条東</t>
    <phoneticPr fontId="8"/>
  </si>
  <si>
    <t>札幌市東区北３７条東</t>
    <phoneticPr fontId="8"/>
  </si>
  <si>
    <t>２０丁目３番１号</t>
    <phoneticPr fontId="8"/>
  </si>
  <si>
    <t>札幌市東区北３６条東</t>
    <phoneticPr fontId="8"/>
  </si>
  <si>
    <t>１３丁目３－１</t>
  </si>
  <si>
    <t>札幌市東区北３３条東</t>
    <phoneticPr fontId="8"/>
  </si>
  <si>
    <t>札幌市東区北３１条東</t>
    <phoneticPr fontId="8"/>
  </si>
  <si>
    <t>１４丁目１－１</t>
    <phoneticPr fontId="8"/>
  </si>
  <si>
    <t>札幌市東区北２５条東</t>
    <phoneticPr fontId="8"/>
  </si>
  <si>
    <t>４丁目３－１</t>
    <phoneticPr fontId="8"/>
  </si>
  <si>
    <t>１７丁目１－１</t>
    <phoneticPr fontId="8"/>
  </si>
  <si>
    <t>札幌市東区北２１条東</t>
    <phoneticPr fontId="8"/>
  </si>
  <si>
    <t>２１丁目３番１号</t>
    <phoneticPr fontId="8"/>
  </si>
  <si>
    <t>札幌市東区北１９条東</t>
    <phoneticPr fontId="8"/>
  </si>
  <si>
    <t>１４丁目１番１号</t>
    <phoneticPr fontId="8"/>
  </si>
  <si>
    <t>札幌市東区北１８条東</t>
    <phoneticPr fontId="8"/>
  </si>
  <si>
    <t>６丁目１番１０号</t>
    <phoneticPr fontId="8"/>
  </si>
  <si>
    <t>札幌市東区北１２条東</t>
    <phoneticPr fontId="8"/>
  </si>
  <si>
    <t>６丁目１－１</t>
    <phoneticPr fontId="8"/>
  </si>
  <si>
    <t>札幌市東区伏古８条</t>
    <phoneticPr fontId="8"/>
  </si>
  <si>
    <t>５丁目２番１号</t>
    <phoneticPr fontId="8"/>
  </si>
  <si>
    <t>札幌市東区伏古１条</t>
    <phoneticPr fontId="8"/>
  </si>
  <si>
    <t>２丁目１－３１</t>
    <phoneticPr fontId="8"/>
  </si>
  <si>
    <t>札幌市東区伏古１１条</t>
    <phoneticPr fontId="8"/>
  </si>
  <si>
    <t>１丁目２－１０</t>
    <phoneticPr fontId="8"/>
  </si>
  <si>
    <t>札幌市東区東苗穂９条</t>
    <phoneticPr fontId="8"/>
  </si>
  <si>
    <t>３丁目２番３号</t>
    <phoneticPr fontId="8"/>
  </si>
  <si>
    <t>札幌市東区東苗穂７条</t>
    <phoneticPr fontId="8"/>
  </si>
  <si>
    <t>２丁目３番１号</t>
    <phoneticPr fontId="8"/>
  </si>
  <si>
    <t>札幌市東区東苗穂５条</t>
    <phoneticPr fontId="8"/>
  </si>
  <si>
    <t>２丁目３－１</t>
    <phoneticPr fontId="8"/>
  </si>
  <si>
    <t>札幌市東区東苗穂１３条</t>
    <phoneticPr fontId="8"/>
  </si>
  <si>
    <t>４丁目９－３０</t>
    <phoneticPr fontId="8"/>
  </si>
  <si>
    <t>札幌市東区中沼町</t>
    <phoneticPr fontId="8"/>
  </si>
  <si>
    <t>７３番地１０</t>
    <phoneticPr fontId="8"/>
  </si>
  <si>
    <t>札幌市東区中沼町</t>
    <phoneticPr fontId="8"/>
  </si>
  <si>
    <t>２４０番地</t>
    <phoneticPr fontId="8"/>
  </si>
  <si>
    <t>札幌市東区丘珠町</t>
    <phoneticPr fontId="8"/>
  </si>
  <si>
    <t>５９８番地</t>
    <phoneticPr fontId="8"/>
  </si>
  <si>
    <t>札幌市厚別区もみじ台西</t>
    <phoneticPr fontId="90"/>
  </si>
  <si>
    <t>３丁目４番１号</t>
    <phoneticPr fontId="8"/>
  </si>
  <si>
    <t>札幌市厚別区もみじ台東</t>
    <phoneticPr fontId="8"/>
  </si>
  <si>
    <t>４丁目５－１</t>
    <phoneticPr fontId="8"/>
  </si>
  <si>
    <t>札幌市厚別区厚別西３条</t>
    <phoneticPr fontId="8"/>
  </si>
  <si>
    <t>１丁目３－１</t>
    <phoneticPr fontId="8"/>
  </si>
  <si>
    <t>札幌市厚別区厚別西４条</t>
    <phoneticPr fontId="8"/>
  </si>
  <si>
    <t>３丁目１０番３０号</t>
    <phoneticPr fontId="8"/>
  </si>
  <si>
    <t>札幌市厚別区厚別中央２条</t>
    <phoneticPr fontId="8"/>
  </si>
  <si>
    <t>４丁目３番１号</t>
    <phoneticPr fontId="8"/>
  </si>
  <si>
    <t>札幌市厚別区厚別中央４条</t>
    <phoneticPr fontId="8"/>
  </si>
  <si>
    <t>３丁目６－１</t>
    <phoneticPr fontId="8"/>
  </si>
  <si>
    <t>札幌市厚別区厚別東２条</t>
    <phoneticPr fontId="8"/>
  </si>
  <si>
    <t>４丁目５番１号</t>
    <phoneticPr fontId="8"/>
  </si>
  <si>
    <t>札幌市厚別区厚別東４条</t>
    <phoneticPr fontId="8"/>
  </si>
  <si>
    <t>８丁目１番１号</t>
    <phoneticPr fontId="8"/>
  </si>
  <si>
    <t>札幌市厚別区厚別南</t>
    <phoneticPr fontId="8"/>
  </si>
  <si>
    <t>２丁目２１－２２</t>
    <phoneticPr fontId="8"/>
  </si>
  <si>
    <t>札幌市厚別区厚別北２条</t>
    <phoneticPr fontId="8"/>
  </si>
  <si>
    <t>３丁目３－１</t>
    <phoneticPr fontId="8"/>
  </si>
  <si>
    <t>札幌市厚別区大谷地東</t>
    <phoneticPr fontId="8"/>
  </si>
  <si>
    <t>５丁目８－１</t>
    <phoneticPr fontId="8"/>
  </si>
  <si>
    <t>南郷通</t>
    <phoneticPr fontId="8"/>
  </si>
  <si>
    <t>南郷通</t>
    <phoneticPr fontId="8"/>
  </si>
  <si>
    <t>平和通</t>
    <phoneticPr fontId="8"/>
  </si>
  <si>
    <t>平和通</t>
    <phoneticPr fontId="8"/>
  </si>
  <si>
    <t>本郷通</t>
    <phoneticPr fontId="8"/>
  </si>
  <si>
    <t>本郷通</t>
    <phoneticPr fontId="8"/>
  </si>
  <si>
    <t>本通</t>
    <phoneticPr fontId="8"/>
  </si>
  <si>
    <t>本通</t>
    <phoneticPr fontId="8"/>
  </si>
  <si>
    <t>南三十条西８丁目</t>
    <phoneticPr fontId="8"/>
  </si>
  <si>
    <t>011-644-3984</t>
    <phoneticPr fontId="8"/>
  </si>
  <si>
    <t>011-615-6936</t>
    <phoneticPr fontId="8"/>
  </si>
  <si>
    <t>011-261-5723</t>
    <phoneticPr fontId="8"/>
  </si>
  <si>
    <t>011-531-5295</t>
    <phoneticPr fontId="8"/>
  </si>
  <si>
    <t>011-551-6213</t>
    <phoneticPr fontId="8"/>
  </si>
  <si>
    <t xml:space="preserve">011-615-6579  </t>
    <phoneticPr fontId="8"/>
  </si>
  <si>
    <t>011-531-6754</t>
    <phoneticPr fontId="8"/>
  </si>
  <si>
    <t>011-615-6593</t>
    <phoneticPr fontId="8"/>
  </si>
  <si>
    <t>011-261-5762</t>
    <phoneticPr fontId="8"/>
  </si>
  <si>
    <t>011-615-6792</t>
    <phoneticPr fontId="8"/>
  </si>
  <si>
    <t>011-551-6178</t>
    <phoneticPr fontId="8"/>
  </si>
  <si>
    <t>011-615-7134</t>
    <phoneticPr fontId="8"/>
  </si>
  <si>
    <t>011-643-1133</t>
    <phoneticPr fontId="8"/>
  </si>
  <si>
    <t>011-631-6356</t>
    <phoneticPr fontId="8"/>
  </si>
  <si>
    <t>011-615-6895</t>
    <phoneticPr fontId="8"/>
  </si>
  <si>
    <t>011-551-2771</t>
    <phoneticPr fontId="8"/>
  </si>
  <si>
    <t>011-551-6265</t>
    <phoneticPr fontId="8"/>
  </si>
  <si>
    <t>011-532-8340</t>
    <phoneticPr fontId="8"/>
  </si>
  <si>
    <t xml:space="preserve">011-532-8341 </t>
    <phoneticPr fontId="8"/>
  </si>
  <si>
    <t xml:space="preserve">011-204-9811  </t>
    <phoneticPr fontId="8"/>
  </si>
  <si>
    <t>011-204-9815</t>
    <phoneticPr fontId="8"/>
  </si>
  <si>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</si>
  <si>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</si>
  <si>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</si>
  <si>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</si>
  <si>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</si>
  <si>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</si>
  <si>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</si>
  <si>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</si>
  <si>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</si>
  <si>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</si>
  <si>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</si>
  <si>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</si>
  <si>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</si>
  <si>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</si>
  <si>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</si>
  <si>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</si>
  <si>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</si>
  <si>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</si>
  <si>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</si>
  <si>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</si>
  <si>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</si>
  <si>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</si>
  <si>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</si>
  <si>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</si>
  <si>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</si>
  <si>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</si>
  <si>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</si>
  <si>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</si>
  <si>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</si>
  <si>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8"/>
  </si>
  <si>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</si>
  <si>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</si>
  <si>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</si>
  <si>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</si>
  <si>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</si>
  <si>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</si>
  <si>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</si>
  <si>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</si>
  <si>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</si>
  <si>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</si>
  <si>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</si>
  <si>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</si>
  <si>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</si>
  <si>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</si>
  <si>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</si>
  <si>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</si>
  <si>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</si>
  <si>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</si>
  <si>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</si>
  <si>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</si>
  <si>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</si>
  <si>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</si>
  <si>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</si>
  <si>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</si>
  <si>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</si>
  <si>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</si>
  <si>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</si>
  <si>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</si>
  <si>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</si>
  <si>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</si>
  <si>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</si>
  <si>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</si>
  <si>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</si>
  <si>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</si>
  <si>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</si>
  <si>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</si>
  <si>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</si>
  <si>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</si>
  <si>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</si>
  <si>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</si>
  <si>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</si>
  <si>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</si>
  <si>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</si>
  <si>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</si>
  <si>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</si>
  <si>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</si>
  <si>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</si>
  <si>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</si>
  <si>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</si>
  <si>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</si>
  <si>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</si>
  <si>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</si>
  <si>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</si>
  <si>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</si>
  <si>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</si>
  <si>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</si>
  <si>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</si>
  <si>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</si>
  <si>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</si>
  <si>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</si>
  <si>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</si>
  <si>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</si>
  <si>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</si>
  <si>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</si>
  <si>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</si>
  <si>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</si>
  <si>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</si>
  <si>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</si>
  <si>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</si>
  <si>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</si>
  <si>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</si>
  <si>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</si>
  <si>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</si>
  <si>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</si>
  <si>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</si>
  <si>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</si>
  <si>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8"/>
  </si>
  <si>
    <t>さっぽろしりついしやまみどりしょうがっこう</t>
    <phoneticPr fontId="8"/>
  </si>
  <si>
    <t>011-596-7505</t>
  </si>
  <si>
    <t>011-594-2210</t>
  </si>
  <si>
    <t>札幌市南区石山1条</t>
    <rPh sb="0" eb="3">
      <t>サッポロシ</t>
    </rPh>
    <rPh sb="3" eb="5">
      <t>ミナミク</t>
    </rPh>
    <phoneticPr fontId="8"/>
  </si>
  <si>
    <t>４丁目１−１</t>
    <phoneticPr fontId="8"/>
  </si>
  <si>
    <t>011-583-7810</t>
  </si>
  <si>
    <t>011-583-7774</t>
    <phoneticPr fontId="8"/>
  </si>
  <si>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</si>
  <si>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</si>
  <si>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</si>
  <si>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</si>
  <si>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</si>
  <si>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</si>
  <si>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</si>
  <si>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</si>
  <si>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</si>
  <si>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</si>
  <si>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</si>
  <si>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</si>
  <si>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</si>
  <si>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</si>
  <si>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</si>
  <si>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</si>
  <si>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</si>
  <si>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</si>
  <si>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</si>
  <si>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</si>
  <si>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</si>
  <si>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</si>
  <si>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</si>
  <si>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</si>
  <si>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</si>
  <si>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</si>
  <si>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</si>
  <si>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</si>
  <si>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</si>
  <si>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</si>
  <si>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</si>
  <si>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</si>
  <si>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</si>
  <si>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</si>
  <si>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</si>
  <si>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</si>
  <si>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</si>
  <si>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</si>
  <si>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</si>
  <si>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</si>
  <si>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</si>
  <si>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</si>
  <si>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</si>
  <si>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</si>
  <si>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</si>
  <si>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</si>
  <si>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</si>
  <si>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</si>
  <si>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</si>
  <si>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</si>
  <si>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</si>
  <si>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</si>
  <si>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</si>
  <si>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</si>
  <si>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</si>
  <si>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</si>
  <si>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8"/>
  </si>
  <si>
    <t>のほろのおかしょうがっこう</t>
    <phoneticPr fontId="8"/>
  </si>
  <si>
    <t>４丁目５−１</t>
    <phoneticPr fontId="8"/>
  </si>
  <si>
    <t>札幌市厚別区上野幌２条</t>
    <phoneticPr fontId="8"/>
  </si>
  <si>
    <t>004-0022</t>
    <phoneticPr fontId="8"/>
  </si>
  <si>
    <t>新札幌わかば小学校</t>
    <rPh sb="0" eb="3">
      <t>シンサッポロ</t>
    </rPh>
    <rPh sb="6" eb="9">
      <t>ショウガッコウ</t>
    </rPh>
    <phoneticPr fontId="8"/>
  </si>
  <si>
    <t>しんさっぽろわかばしょうがっこう</t>
    <phoneticPr fontId="8"/>
  </si>
  <si>
    <t>札幌市厚別区厚別南</t>
    <phoneticPr fontId="8"/>
  </si>
  <si>
    <t>７丁目９番１号</t>
    <phoneticPr fontId="8"/>
  </si>
  <si>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</si>
  <si>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</si>
  <si>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</si>
  <si>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</si>
  <si>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</si>
  <si>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</si>
  <si>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</si>
  <si>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</si>
  <si>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</si>
  <si>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</si>
  <si>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</si>
  <si>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</si>
  <si>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</si>
  <si>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</si>
  <si>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</si>
  <si>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</si>
  <si>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</si>
  <si>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</si>
  <si>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</si>
  <si>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</si>
  <si>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</si>
  <si>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</si>
  <si>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</si>
  <si>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</si>
  <si>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</si>
  <si>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</si>
  <si>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</si>
  <si>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</si>
  <si>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</si>
  <si>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</si>
  <si>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</si>
  <si>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</si>
  <si>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</si>
  <si>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</si>
  <si>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</si>
  <si>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</si>
  <si>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</si>
  <si>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</si>
  <si>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</si>
  <si>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</si>
  <si>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</si>
  <si>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8"/>
  </si>
  <si>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</si>
  <si>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</si>
  <si>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</si>
  <si>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</si>
  <si>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</si>
  <si>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</si>
  <si>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</si>
  <si>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</si>
  <si>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</si>
  <si>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</si>
  <si>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</si>
  <si>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</si>
  <si>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</si>
  <si>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</si>
  <si>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</si>
  <si>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</si>
  <si>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</si>
  <si>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</si>
  <si>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</si>
  <si>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</si>
  <si>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</si>
  <si>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</si>
  <si>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</si>
  <si>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</si>
  <si>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</si>
  <si>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</si>
  <si>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</si>
  <si>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</si>
  <si>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</si>
  <si>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</si>
  <si>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</si>
  <si>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</si>
  <si>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</si>
  <si>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</si>
  <si>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</si>
  <si>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</si>
  <si>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</si>
  <si>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</si>
  <si>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</si>
  <si>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</si>
  <si>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</si>
  <si>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</si>
  <si>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</si>
  <si>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</si>
  <si>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</si>
  <si>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</si>
  <si>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</si>
  <si>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</si>
  <si>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</si>
  <si>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</si>
  <si>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</si>
  <si>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</si>
  <si>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</si>
  <si>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</si>
  <si>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</si>
  <si>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</si>
  <si>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</si>
  <si>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</si>
  <si>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</si>
  <si>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</si>
  <si>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</si>
  <si>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</si>
  <si>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</si>
  <si>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</si>
  <si>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</si>
  <si>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</si>
  <si>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</si>
  <si>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</si>
  <si>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</si>
  <si>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</si>
  <si>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</si>
  <si>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</si>
  <si>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</si>
  <si>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</si>
  <si>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</si>
  <si>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</si>
  <si>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</si>
  <si>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</si>
  <si>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</si>
  <si>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</si>
  <si>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</si>
  <si>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</si>
  <si>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</si>
  <si>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</si>
  <si>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</si>
  <si>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</si>
  <si>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</si>
  <si>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</si>
  <si>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</si>
  <si>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</si>
  <si>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</si>
  <si>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</si>
  <si>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</si>
  <si>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</si>
  <si>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</si>
  <si>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</si>
  <si>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</si>
  <si>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</si>
  <si>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</si>
  <si>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</si>
  <si>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</si>
  <si>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</si>
  <si>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</si>
  <si>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</si>
  <si>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</si>
  <si>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</si>
  <si>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</si>
  <si>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</si>
  <si>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</si>
  <si>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</si>
  <si>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</si>
  <si>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</si>
  <si>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</si>
  <si>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</si>
  <si>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</si>
  <si>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</si>
  <si>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</si>
  <si>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</si>
  <si>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</si>
  <si>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</si>
  <si>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</si>
  <si>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</si>
  <si>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</si>
  <si>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</si>
  <si>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</si>
  <si>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</si>
  <si>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</si>
  <si>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</si>
  <si>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</si>
  <si>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</si>
  <si>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</si>
  <si>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</si>
  <si>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</si>
  <si>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</si>
  <si>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</si>
  <si>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</si>
  <si>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</si>
  <si>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</si>
  <si>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</si>
  <si>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</si>
  <si>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</si>
  <si>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</si>
  <si>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</si>
  <si>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</si>
  <si>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</si>
  <si>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</si>
  <si>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</si>
  <si>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</si>
  <si>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</si>
  <si>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</si>
  <si>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</si>
  <si>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</si>
  <si>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</si>
  <si>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</si>
  <si>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</si>
  <si>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</si>
  <si>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</si>
  <si>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</si>
  <si>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</si>
  <si>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</si>
  <si>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</si>
  <si>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</si>
  <si>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</si>
  <si>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</si>
  <si>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</si>
  <si>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</si>
  <si>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</si>
  <si>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</si>
  <si>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</si>
  <si>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</si>
  <si>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</si>
  <si>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</si>
  <si>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</si>
  <si>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</si>
  <si>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</si>
  <si>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</si>
  <si>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</si>
  <si>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</si>
  <si>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</si>
  <si>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</si>
  <si>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</si>
  <si>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</si>
  <si>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</si>
  <si>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</si>
  <si>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</si>
  <si>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</si>
  <si>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</si>
  <si>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</si>
  <si>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</si>
  <si>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</si>
  <si>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</si>
  <si>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</si>
  <si>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</si>
  <si>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</si>
  <si>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</si>
  <si>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</si>
  <si>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</si>
  <si>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</si>
  <si>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</si>
  <si>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</si>
  <si>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</si>
  <si>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</si>
  <si>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</si>
  <si>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</si>
  <si>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</si>
  <si>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</si>
  <si>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</si>
  <si>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</si>
  <si>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</si>
  <si>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</si>
  <si>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</si>
  <si>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</si>
  <si>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</si>
  <si>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</si>
  <si>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</si>
  <si>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</si>
  <si>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</si>
  <si>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</si>
  <si>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</si>
  <si>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</si>
  <si>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</si>
  <si>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</si>
  <si>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</si>
  <si>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</si>
  <si>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</si>
  <si>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</si>
  <si>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</si>
  <si>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</si>
  <si>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</si>
  <si>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</si>
  <si>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</si>
  <si>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</si>
  <si>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</si>
  <si>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</si>
  <si>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</si>
  <si>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</si>
  <si>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</si>
  <si>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</si>
  <si>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</si>
  <si>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</si>
  <si>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</si>
  <si>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</si>
  <si>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</si>
  <si>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</si>
  <si>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</si>
  <si>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</si>
  <si>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</si>
  <si>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</si>
  <si>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</si>
  <si>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</si>
  <si>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</si>
  <si>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</si>
  <si>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</si>
  <si>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</si>
  <si>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</si>
  <si>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</si>
  <si>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</si>
  <si>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</si>
  <si>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</si>
  <si>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</si>
  <si>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</si>
  <si>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</si>
  <si>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</si>
  <si>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</si>
  <si>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</si>
  <si>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</si>
  <si>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</si>
  <si>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</si>
  <si>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</si>
  <si>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</si>
  <si>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</si>
  <si>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</si>
  <si>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</si>
  <si>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</si>
  <si>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8"/>
  </si>
  <si>
    <t>011-778-0640</t>
    <phoneticPr fontId="8"/>
  </si>
  <si>
    <t>号の規定に</t>
    <phoneticPr fontId="31"/>
  </si>
  <si>
    <t>【特】-2号　　特別支援学校・学級の在籍児童生徒</t>
    <rPh sb="1" eb="2">
      <t>トク</t>
    </rPh>
    <rPh sb="5" eb="6">
      <t>ゴウ</t>
    </rPh>
    <phoneticPr fontId="3"/>
  </si>
  <si>
    <t>札幌市南区滝野</t>
    <rPh sb="0" eb="3">
      <t>サッポロシ</t>
    </rPh>
    <rPh sb="3" eb="5">
      <t>ミナミク</t>
    </rPh>
    <rPh sb="5" eb="7">
      <t>タキノ</t>
    </rPh>
    <phoneticPr fontId="8"/>
  </si>
  <si>
    <t>011-591-0303</t>
    <phoneticPr fontId="8"/>
  </si>
  <si>
    <t>011-591-0394</t>
    <phoneticPr fontId="8"/>
  </si>
  <si>
    <t>12</t>
    <phoneticPr fontId="3"/>
  </si>
  <si>
    <t>13</t>
    <phoneticPr fontId="3"/>
  </si>
  <si>
    <t>月</t>
    <rPh sb="0" eb="1">
      <t>ゲツ</t>
    </rPh>
    <phoneticPr fontId="3"/>
  </si>
  <si>
    <t>火</t>
    <rPh sb="0" eb="1">
      <t>ヒ</t>
    </rPh>
    <phoneticPr fontId="3"/>
  </si>
  <si>
    <t>通常食</t>
    <rPh sb="0" eb="2">
      <t>ツウジョウ</t>
    </rPh>
    <rPh sb="2" eb="3">
      <t>ショク</t>
    </rPh>
    <phoneticPr fontId="30"/>
  </si>
  <si>
    <t>朝　食</t>
    <rPh sb="0" eb="1">
      <t>アサ</t>
    </rPh>
    <rPh sb="2" eb="3">
      <t>ショク</t>
    </rPh>
    <phoneticPr fontId="30"/>
  </si>
  <si>
    <t>食堂</t>
    <rPh sb="0" eb="2">
      <t>ショクドウ</t>
    </rPh>
    <phoneticPr fontId="30"/>
  </si>
  <si>
    <t>携帯食</t>
    <rPh sb="0" eb="3">
      <t>ケイタイショク</t>
    </rPh>
    <phoneticPr fontId="30"/>
  </si>
  <si>
    <t>●</t>
    <phoneticPr fontId="30"/>
  </si>
  <si>
    <t>風車　※指導あり</t>
    <rPh sb="0" eb="2">
      <t>フウシャ</t>
    </rPh>
    <rPh sb="4" eb="6">
      <t>シドウ</t>
    </rPh>
    <phoneticPr fontId="3"/>
  </si>
  <si>
    <t>木のマグネット※指導あり</t>
    <rPh sb="0" eb="1">
      <t>キ</t>
    </rPh>
    <rPh sb="8" eb="10">
      <t>シドウ</t>
    </rPh>
    <phoneticPr fontId="3"/>
  </si>
  <si>
    <t>マイ箸※指導あり</t>
    <rPh sb="2" eb="3">
      <t>ハシ</t>
    </rPh>
    <rPh sb="4" eb="6">
      <t>シドウ</t>
    </rPh>
    <phoneticPr fontId="3"/>
  </si>
  <si>
    <t>火起こし体験※指導あり</t>
    <rPh sb="0" eb="1">
      <t>ヒ</t>
    </rPh>
    <rPh sb="1" eb="2">
      <t>オ</t>
    </rPh>
    <rPh sb="4" eb="6">
      <t>タイケン</t>
    </rPh>
    <rPh sb="7" eb="9">
      <t>シドウ</t>
    </rPh>
    <phoneticPr fontId="3"/>
  </si>
  <si>
    <t>トランクキット※指導あり</t>
    <rPh sb="8" eb="10">
      <t>シドウ</t>
    </rPh>
    <phoneticPr fontId="3"/>
  </si>
  <si>
    <t>使　用　期　間</t>
    <rPh sb="0" eb="1">
      <t>シ</t>
    </rPh>
    <rPh sb="2" eb="3">
      <t>ヨウ</t>
    </rPh>
    <rPh sb="4" eb="5">
      <t>キ</t>
    </rPh>
    <rPh sb="6" eb="7">
      <t>アイダ</t>
    </rPh>
    <phoneticPr fontId="3"/>
  </si>
  <si>
    <t>使　用　目　的</t>
    <rPh sb="0" eb="1">
      <t>シ</t>
    </rPh>
    <rPh sb="2" eb="3">
      <t>ヨウ</t>
    </rPh>
    <rPh sb="4" eb="5">
      <t>メ</t>
    </rPh>
    <rPh sb="6" eb="7">
      <t>マト</t>
    </rPh>
    <phoneticPr fontId="3"/>
  </si>
  <si>
    <t>減 免 申 請 人 数</t>
    <rPh sb="0" eb="1">
      <t>ゲン</t>
    </rPh>
    <rPh sb="2" eb="3">
      <t>メン</t>
    </rPh>
    <rPh sb="4" eb="5">
      <t>サル</t>
    </rPh>
    <rPh sb="6" eb="7">
      <t>ショウ</t>
    </rPh>
    <rPh sb="8" eb="9">
      <t>ヒト</t>
    </rPh>
    <rPh sb="10" eb="11">
      <t>スウ</t>
    </rPh>
    <phoneticPr fontId="3"/>
  </si>
  <si>
    <t>減 免 申 請 理 由</t>
    <rPh sb="0" eb="1">
      <t>ゲン</t>
    </rPh>
    <rPh sb="2" eb="3">
      <t>メン</t>
    </rPh>
    <rPh sb="4" eb="5">
      <t>サル</t>
    </rPh>
    <rPh sb="6" eb="7">
      <t>ショウ</t>
    </rPh>
    <rPh sb="8" eb="9">
      <t>リ</t>
    </rPh>
    <rPh sb="10" eb="11">
      <t>ヨシ</t>
    </rPh>
    <phoneticPr fontId="3"/>
  </si>
  <si>
    <t>011-591-0303</t>
    <phoneticPr fontId="3"/>
  </si>
  <si>
    <t>小泊/準</t>
    <rPh sb="0" eb="1">
      <t>ショウ</t>
    </rPh>
    <rPh sb="1" eb="2">
      <t>ハク</t>
    </rPh>
    <rPh sb="3" eb="4">
      <t>ジュン</t>
    </rPh>
    <phoneticPr fontId="31"/>
  </si>
  <si>
    <t>小泊/準・特・療</t>
    <phoneticPr fontId="31"/>
  </si>
  <si>
    <t>引泊/介添</t>
    <rPh sb="0" eb="1">
      <t>イン</t>
    </rPh>
    <rPh sb="1" eb="2">
      <t>ハク</t>
    </rPh>
    <rPh sb="3" eb="5">
      <t>カイゾエ</t>
    </rPh>
    <phoneticPr fontId="31"/>
  </si>
  <si>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</si>
  <si>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t>宿泊</t>
  </si>
  <si>
    <t>入園日</t>
    <rPh sb="0" eb="2">
      <t>ニュウエン</t>
    </rPh>
    <rPh sb="2" eb="3">
      <t>ヒ</t>
    </rPh>
    <phoneticPr fontId="8"/>
  </si>
  <si>
    <t>利用形態</t>
    <rPh sb="0" eb="2">
      <t>リヨウ</t>
    </rPh>
    <rPh sb="2" eb="4">
      <t>ケイタイ</t>
    </rPh>
    <phoneticPr fontId="8"/>
  </si>
  <si>
    <t>入園予定時間</t>
    <rPh sb="0" eb="2">
      <t>ニュウエン</t>
    </rPh>
    <rPh sb="2" eb="4">
      <t>ヨテイ</t>
    </rPh>
    <rPh sb="4" eb="6">
      <t>ジカン</t>
    </rPh>
    <phoneticPr fontId="8"/>
  </si>
  <si>
    <t>退園予定時間</t>
    <rPh sb="0" eb="2">
      <t>タイエン</t>
    </rPh>
    <rPh sb="2" eb="4">
      <t>ヨテイ</t>
    </rPh>
    <rPh sb="4" eb="6">
      <t>ジカン</t>
    </rPh>
    <phoneticPr fontId="8"/>
  </si>
  <si>
    <t>日帰り（補助的指導者）</t>
  </si>
  <si>
    <t>①</t>
    <phoneticPr fontId="8"/>
  </si>
  <si>
    <t>②</t>
    <phoneticPr fontId="8"/>
  </si>
  <si>
    <t>③</t>
    <phoneticPr fontId="8"/>
  </si>
  <si>
    <t>④</t>
    <phoneticPr fontId="8"/>
  </si>
  <si>
    <t>⑤</t>
    <phoneticPr fontId="8"/>
  </si>
  <si>
    <t>時間・利用形態等</t>
    <rPh sb="0" eb="2">
      <t>ジカン</t>
    </rPh>
    <rPh sb="3" eb="5">
      <t>リヨウ</t>
    </rPh>
    <rPh sb="5" eb="7">
      <t>ケイタイ</t>
    </rPh>
    <rPh sb="7" eb="8">
      <t>トウ</t>
    </rPh>
    <phoneticPr fontId="3"/>
  </si>
  <si>
    <t>１枚目</t>
    <rPh sb="1" eb="3">
      <t>マイメ</t>
    </rPh>
    <phoneticPr fontId="3"/>
  </si>
  <si>
    <t>２枚目</t>
    <rPh sb="1" eb="3">
      <t>マイメ</t>
    </rPh>
    <phoneticPr fontId="3"/>
  </si>
  <si>
    <t>月</t>
    <rPh sb="0" eb="1">
      <t>ゲツ</t>
    </rPh>
    <phoneticPr fontId="8"/>
  </si>
  <si>
    <t>火</t>
    <rPh sb="0" eb="1">
      <t>ヒ</t>
    </rPh>
    <phoneticPr fontId="8"/>
  </si>
  <si>
    <t>⑥</t>
    <phoneticPr fontId="8"/>
  </si>
  <si>
    <t>⑦</t>
    <phoneticPr fontId="8"/>
  </si>
  <si>
    <t>⑧</t>
    <phoneticPr fontId="8"/>
  </si>
  <si>
    <t>⑨</t>
    <phoneticPr fontId="8"/>
  </si>
  <si>
    <t>⑩</t>
    <phoneticPr fontId="8"/>
  </si>
  <si>
    <t>：</t>
    <phoneticPr fontId="8"/>
  </si>
  <si>
    <t>～</t>
    <phoneticPr fontId="8"/>
  </si>
  <si>
    <t>札幌市立青少年山の家小学校</t>
    <rPh sb="0" eb="4">
      <t>サッポロシリツ</t>
    </rPh>
    <phoneticPr fontId="8"/>
  </si>
  <si>
    <t>宿泊</t>
    <phoneticPr fontId="8"/>
  </si>
  <si>
    <t>日帰り</t>
    <phoneticPr fontId="8"/>
  </si>
  <si>
    <t>日帰り（補助的指導者）</t>
    <phoneticPr fontId="8"/>
  </si>
  <si>
    <t>送迎（３０分以内）</t>
    <rPh sb="5" eb="6">
      <t>プン</t>
    </rPh>
    <rPh sb="6" eb="8">
      <t>イナイ</t>
    </rPh>
    <phoneticPr fontId="8"/>
  </si>
  <si>
    <t>団体名
運転者（氏名）</t>
    <rPh sb="0" eb="2">
      <t>ダンタイ</t>
    </rPh>
    <rPh sb="2" eb="3">
      <t>メイ</t>
    </rPh>
    <rPh sb="4" eb="7">
      <t>ウンテンシャ</t>
    </rPh>
    <rPh sb="8" eb="10">
      <t>シメイ</t>
    </rPh>
    <phoneticPr fontId="3"/>
  </si>
  <si>
    <t>青少年山の家小学校
滝野観光バス</t>
    <rPh sb="0" eb="4">
      <t>セイショウネンヤマ</t>
    </rPh>
    <rPh sb="5" eb="9">
      <t>イエショウガッコウ</t>
    </rPh>
    <rPh sb="10" eb="12">
      <t>タキノ</t>
    </rPh>
    <rPh sb="12" eb="14">
      <t>カンコウ</t>
    </rPh>
    <phoneticPr fontId="8"/>
  </si>
  <si>
    <t>団体名
運転者（氏名・運行会社名）</t>
    <rPh sb="0" eb="2">
      <t>ダンタイ</t>
    </rPh>
    <rPh sb="2" eb="3">
      <t>メイ</t>
    </rPh>
    <rPh sb="4" eb="7">
      <t>ウンテンシャ</t>
    </rPh>
    <rPh sb="8" eb="10">
      <t>シメイ</t>
    </rPh>
    <rPh sb="11" eb="13">
      <t>ウンコウ</t>
    </rPh>
    <rPh sb="13" eb="16">
      <t>カイシャメイ</t>
    </rPh>
    <phoneticPr fontId="3"/>
  </si>
  <si>
    <t>南第二駐車場※補助限定</t>
  </si>
  <si>
    <t>青少年山の家小学校
教員　蝦夷　鹿男</t>
    <rPh sb="0" eb="4">
      <t>セイショウネンヤマ</t>
    </rPh>
    <rPh sb="5" eb="9">
      <t>イエショウガッコウ</t>
    </rPh>
    <rPh sb="10" eb="12">
      <t>キョウイン</t>
    </rPh>
    <rPh sb="13" eb="15">
      <t>エゾ</t>
    </rPh>
    <rPh sb="16" eb="17">
      <t>シカ</t>
    </rPh>
    <rPh sb="17" eb="18">
      <t>オトコ</t>
    </rPh>
    <phoneticPr fontId="8"/>
  </si>
  <si>
    <t>青少年山の家小学校
滝野くまげら写真館</t>
    <rPh sb="0" eb="4">
      <t>セイショウネンヤマ</t>
    </rPh>
    <rPh sb="5" eb="6">
      <t>イエ</t>
    </rPh>
    <rPh sb="6" eb="9">
      <t>ショウガッコウ</t>
    </rPh>
    <rPh sb="10" eb="12">
      <t>タキノ</t>
    </rPh>
    <rPh sb="16" eb="19">
      <t>シャシンカン</t>
    </rPh>
    <phoneticPr fontId="8"/>
  </si>
  <si>
    <t>青少年山の家小学校
保護者　野牛　山子</t>
    <rPh sb="0" eb="4">
      <t>セイショウネンヤマ</t>
    </rPh>
    <rPh sb="5" eb="9">
      <t>イエショウガッコウ</t>
    </rPh>
    <rPh sb="10" eb="13">
      <t>ホゴシャ</t>
    </rPh>
    <rPh sb="14" eb="16">
      <t>ヤギュウ</t>
    </rPh>
    <rPh sb="17" eb="18">
      <t>ヤマ</t>
    </rPh>
    <rPh sb="18" eb="19">
      <t>コ</t>
    </rPh>
    <phoneticPr fontId="8"/>
  </si>
  <si>
    <t>青少年山の家小学校
補助的指導者</t>
    <rPh sb="0" eb="4">
      <t>セイショウネンヤマ</t>
    </rPh>
    <rPh sb="5" eb="9">
      <t>イエショウガッコウ</t>
    </rPh>
    <rPh sb="10" eb="13">
      <t>ホジョテキ</t>
    </rPh>
    <rPh sb="13" eb="16">
      <t>シドウシャ</t>
    </rPh>
    <phoneticPr fontId="8"/>
  </si>
  <si>
    <t>中央口駐車場（送迎）</t>
  </si>
  <si>
    <t>晴天時はこどもの谷に向かいますので【中央口駐車場】に送迎停車します
荒天時は午前で帰りますので、９：３０に【南駐車場】に送迎停車します。</t>
    <rPh sb="0" eb="2">
      <t>セイテン</t>
    </rPh>
    <rPh sb="2" eb="3">
      <t>ジ</t>
    </rPh>
    <rPh sb="8" eb="9">
      <t>タニ</t>
    </rPh>
    <rPh sb="10" eb="11">
      <t>ム</t>
    </rPh>
    <rPh sb="18" eb="20">
      <t>チュウオウ</t>
    </rPh>
    <rPh sb="20" eb="21">
      <t>グチ</t>
    </rPh>
    <rPh sb="21" eb="24">
      <t>チュウシャジョウ</t>
    </rPh>
    <rPh sb="26" eb="28">
      <t>ソウゲイ</t>
    </rPh>
    <rPh sb="28" eb="30">
      <t>テイシャ</t>
    </rPh>
    <rPh sb="34" eb="36">
      <t>コウテン</t>
    </rPh>
    <rPh sb="36" eb="37">
      <t>ジ</t>
    </rPh>
    <rPh sb="38" eb="40">
      <t>ゴゼン</t>
    </rPh>
    <rPh sb="41" eb="42">
      <t>カエ</t>
    </rPh>
    <rPh sb="60" eb="62">
      <t>ソウゲイ</t>
    </rPh>
    <rPh sb="62" eb="64">
      <t>テイシャ</t>
    </rPh>
    <phoneticPr fontId="8"/>
  </si>
  <si>
    <t>12</t>
    <phoneticPr fontId="8"/>
  </si>
  <si>
    <t>011-591-0303</t>
    <phoneticPr fontId="3"/>
  </si>
  <si>
    <t>13</t>
    <phoneticPr fontId="3"/>
  </si>
  <si>
    <t>炊き出し</t>
    <rPh sb="0" eb="1">
      <t>タ</t>
    </rPh>
    <rPh sb="2" eb="3">
      <t>ダ</t>
    </rPh>
    <phoneticPr fontId="3"/>
  </si>
  <si>
    <t>　　について、下記のとおり報告します。</t>
    <rPh sb="7" eb="9">
      <t>カキ</t>
    </rPh>
    <rPh sb="13" eb="15">
      <t>ホウコク</t>
    </rPh>
    <phoneticPr fontId="3"/>
  </si>
  <si>
    <t>　利用日変更</t>
    <rPh sb="1" eb="4">
      <t>リヨウビ</t>
    </rPh>
    <rPh sb="4" eb="6">
      <t>ヘンコウ</t>
    </rPh>
    <phoneticPr fontId="3"/>
  </si>
  <si>
    <t>防災炊事</t>
    <rPh sb="0" eb="4">
      <t>ボウサイスイジ</t>
    </rPh>
    <phoneticPr fontId="30"/>
  </si>
  <si>
    <t>（PET500ml）
健康ミネラル麦茶</t>
    <rPh sb="11" eb="13">
      <t>ケンコウ</t>
    </rPh>
    <rPh sb="17" eb="19">
      <t>ムギチャ</t>
    </rPh>
    <phoneticPr fontId="30"/>
  </si>
  <si>
    <t>（PET500ml）
アクエリアス</t>
    <phoneticPr fontId="30"/>
  </si>
  <si>
    <t>（PET500ml）
いろはす</t>
    <phoneticPr fontId="30"/>
  </si>
  <si>
    <t>（紙パック200ml）
健康ミネラル麦茶</t>
    <rPh sb="1" eb="2">
      <t>カミ</t>
    </rPh>
    <rPh sb="12" eb="14">
      <t>ケンコウ</t>
    </rPh>
    <rPh sb="18" eb="20">
      <t>ムギチャ</t>
    </rPh>
    <phoneticPr fontId="30"/>
  </si>
  <si>
    <t>（紙パック200ml）
りんごmix100％</t>
    <rPh sb="1" eb="2">
      <t>カミ</t>
    </rPh>
    <phoneticPr fontId="30"/>
  </si>
  <si>
    <t>（紙パック200ml）
オレンジmix100％</t>
    <rPh sb="1" eb="2">
      <t>カミ</t>
    </rPh>
    <phoneticPr fontId="30"/>
  </si>
  <si>
    <t>昼　食キッズ幼児</t>
    <rPh sb="0" eb="1">
      <t>ヒル</t>
    </rPh>
    <rPh sb="2" eb="3">
      <t>ショク</t>
    </rPh>
    <rPh sb="6" eb="8">
      <t>ヨウジ</t>
    </rPh>
    <phoneticPr fontId="30"/>
  </si>
  <si>
    <t>昼　食キッズ小学生</t>
    <rPh sb="0" eb="1">
      <t>ヒル</t>
    </rPh>
    <rPh sb="2" eb="3">
      <t>ショク</t>
    </rPh>
    <rPh sb="6" eb="9">
      <t>ショウガクセイ</t>
    </rPh>
    <phoneticPr fontId="30"/>
  </si>
  <si>
    <t>夕　食キッズ幼児</t>
    <phoneticPr fontId="30"/>
  </si>
  <si>
    <t>昼　食キッズ中学生以上</t>
    <rPh sb="0" eb="1">
      <t>ヒル</t>
    </rPh>
    <rPh sb="2" eb="3">
      <t>ショク</t>
    </rPh>
    <rPh sb="6" eb="9">
      <t>チュウガクセイ</t>
    </rPh>
    <rPh sb="9" eb="11">
      <t>イジョウ</t>
    </rPh>
    <phoneticPr fontId="30"/>
  </si>
  <si>
    <t>夕　食キッズ小学生</t>
    <phoneticPr fontId="30"/>
  </si>
  <si>
    <t>夕　食キッズ中学生以上</t>
    <rPh sb="0" eb="1">
      <t>ユウ</t>
    </rPh>
    <rPh sb="2" eb="3">
      <t>ショク</t>
    </rPh>
    <rPh sb="6" eb="9">
      <t>チュウガクセイ</t>
    </rPh>
    <rPh sb="9" eb="11">
      <t>イジョウ</t>
    </rPh>
    <phoneticPr fontId="30"/>
  </si>
  <si>
    <t>朝　食キッズ幼児</t>
    <rPh sb="0" eb="1">
      <t>アサ</t>
    </rPh>
    <rPh sb="2" eb="3">
      <t>ショク</t>
    </rPh>
    <rPh sb="6" eb="8">
      <t>ヨウジ</t>
    </rPh>
    <phoneticPr fontId="30"/>
  </si>
  <si>
    <t>朝　食キッズ小学生</t>
    <rPh sb="0" eb="1">
      <t>アサ</t>
    </rPh>
    <rPh sb="2" eb="3">
      <t>ショク</t>
    </rPh>
    <rPh sb="6" eb="9">
      <t>ショウガクセイ</t>
    </rPh>
    <phoneticPr fontId="30"/>
  </si>
  <si>
    <t>朝　食キッズ中学生以上</t>
    <rPh sb="0" eb="1">
      <t>アサ</t>
    </rPh>
    <rPh sb="2" eb="3">
      <t>ショク</t>
    </rPh>
    <rPh sb="6" eb="9">
      <t>チュウガクセイ</t>
    </rPh>
    <rPh sb="9" eb="11">
      <t>イジョウ</t>
    </rPh>
    <phoneticPr fontId="30"/>
  </si>
  <si>
    <t>　昼】キッズ(幼児)</t>
    <rPh sb="1" eb="2">
      <t>ヒル</t>
    </rPh>
    <rPh sb="7" eb="9">
      <t>ヨウジ</t>
    </rPh>
    <phoneticPr fontId="3"/>
  </si>
  <si>
    <t>　昼】キッズ(小学生)</t>
    <rPh sb="1" eb="2">
      <t>ヒル</t>
    </rPh>
    <rPh sb="7" eb="10">
      <t>ショウガクセイ</t>
    </rPh>
    <phoneticPr fontId="3"/>
  </si>
  <si>
    <t>　昼】キッズ(中学生以上)</t>
    <rPh sb="1" eb="2">
      <t>ヒル</t>
    </rPh>
    <rPh sb="7" eb="10">
      <t>チュウガクセイ</t>
    </rPh>
    <rPh sb="10" eb="12">
      <t>イジョウ</t>
    </rPh>
    <phoneticPr fontId="3"/>
  </si>
  <si>
    <t>　夕】キッズ(幼児)</t>
    <rPh sb="1" eb="2">
      <t>ユウ</t>
    </rPh>
    <rPh sb="7" eb="9">
      <t>ヨウジ</t>
    </rPh>
    <phoneticPr fontId="3"/>
  </si>
  <si>
    <t>　夕】キッズ(小学生)</t>
    <rPh sb="1" eb="2">
      <t>ユウ</t>
    </rPh>
    <rPh sb="7" eb="10">
      <t>ショウガクセイ</t>
    </rPh>
    <phoneticPr fontId="3"/>
  </si>
  <si>
    <t>　夕】キッズ(中学生以上)</t>
    <rPh sb="1" eb="2">
      <t>ユウ</t>
    </rPh>
    <rPh sb="7" eb="10">
      <t>チュウガクセイ</t>
    </rPh>
    <rPh sb="10" eb="12">
      <t>イジョウ</t>
    </rPh>
    <phoneticPr fontId="3"/>
  </si>
  <si>
    <t>　朝】キッズ(幼児)</t>
    <rPh sb="1" eb="2">
      <t>アサ</t>
    </rPh>
    <rPh sb="7" eb="9">
      <t>ヨウジ</t>
    </rPh>
    <phoneticPr fontId="3"/>
  </si>
  <si>
    <t>　朝】キッズ(小学生)</t>
    <rPh sb="1" eb="2">
      <t>アサ</t>
    </rPh>
    <rPh sb="7" eb="10">
      <t>ショウガクセイ</t>
    </rPh>
    <phoneticPr fontId="3"/>
  </si>
  <si>
    <t>　朝】キッズ(中学生以上)</t>
    <rPh sb="1" eb="2">
      <t>アサ</t>
    </rPh>
    <rPh sb="7" eb="10">
      <t>チュウガクセイ</t>
    </rPh>
    <rPh sb="10" eb="12">
      <t>イジョウ</t>
    </rPh>
    <phoneticPr fontId="3"/>
  </si>
  <si>
    <t>　（紙パック200ml）
健康ミネラル麦茶</t>
    <rPh sb="2" eb="3">
      <t>カミ</t>
    </rPh>
    <rPh sb="13" eb="15">
      <t>ケンコウ</t>
    </rPh>
    <rPh sb="19" eb="21">
      <t>ムギチャ</t>
    </rPh>
    <phoneticPr fontId="3"/>
  </si>
  <si>
    <t>（紙パック200ml）
健康ミネラル麦茶</t>
    <phoneticPr fontId="30"/>
  </si>
  <si>
    <t>（紙パック200ml）
りんごmix100％</t>
    <phoneticPr fontId="30"/>
  </si>
  <si>
    <t>　（紙パック200ml）
りんごmix100％</t>
    <phoneticPr fontId="3"/>
  </si>
  <si>
    <t>　（紙パック200ml）
オレンジmix100％</t>
    <phoneticPr fontId="3"/>
  </si>
  <si>
    <t>　（PET500ml）
健康ミネラル麦茶</t>
    <phoneticPr fontId="3"/>
  </si>
  <si>
    <t>　（PET500ml）
アクエリアス</t>
    <phoneticPr fontId="3"/>
  </si>
  <si>
    <t>（PET500ml）
健康ミネラル麦茶</t>
    <phoneticPr fontId="30"/>
  </si>
  <si>
    <t>（紙パック200ml）
オレンジmix100％</t>
    <phoneticPr fontId="30"/>
  </si>
  <si>
    <t>（PET500ml）
いろはす</t>
    <phoneticPr fontId="3"/>
  </si>
  <si>
    <t>　防災炊事</t>
    <rPh sb="1" eb="5">
      <t>ボウサイスイジ</t>
    </rPh>
    <phoneticPr fontId="30"/>
  </si>
  <si>
    <t>　防災炊事</t>
    <rPh sb="1" eb="5">
      <t>ボウサイスイジ</t>
    </rPh>
    <phoneticPr fontId="3"/>
  </si>
  <si>
    <t>　昼】キッズ(中学生以上)</t>
    <rPh sb="1" eb="2">
      <t>ヒル</t>
    </rPh>
    <rPh sb="6" eb="9">
      <t>チュウガクセイ</t>
    </rPh>
    <rPh sb="9" eb="11">
      <t>イジョウ</t>
    </rPh>
    <phoneticPr fontId="3"/>
  </si>
  <si>
    <t>携帯弁当（鮭・梅）</t>
    <rPh sb="0" eb="2">
      <t>ケイタイ</t>
    </rPh>
    <rPh sb="2" eb="4">
      <t>ベントウ</t>
    </rPh>
    <rPh sb="5" eb="6">
      <t>サケ</t>
    </rPh>
    <rPh sb="7" eb="8">
      <t>ウメ</t>
    </rPh>
    <phoneticPr fontId="30"/>
  </si>
  <si>
    <t>携帯弁当（塩・塩）</t>
    <rPh sb="0" eb="4">
      <t>ケイタイベントウ</t>
    </rPh>
    <rPh sb="5" eb="6">
      <t>シオ</t>
    </rPh>
    <rPh sb="7" eb="8">
      <t>シオ</t>
    </rPh>
    <phoneticPr fontId="30"/>
  </si>
  <si>
    <t>（PET500ｍｌ）
健康ミネラル麦茶</t>
    <rPh sb="11" eb="13">
      <t>ケンコウ</t>
    </rPh>
    <rPh sb="17" eb="19">
      <t>ムギチャ</t>
    </rPh>
    <phoneticPr fontId="30"/>
  </si>
  <si>
    <t>令和３</t>
    <rPh sb="0" eb="2">
      <t>レイワ</t>
    </rPh>
    <phoneticPr fontId="3"/>
  </si>
  <si>
    <t>　注意④：総食数が２０食に満たない場合は個別食となります。</t>
    <rPh sb="1" eb="3">
      <t>チュウイ</t>
    </rPh>
    <phoneticPr fontId="3"/>
  </si>
  <si>
    <t>　注意⑥：キッズメニューと通常食の同時注文はできません。</t>
    <rPh sb="1" eb="3">
      <t>チュウイ</t>
    </rPh>
    <rPh sb="13" eb="15">
      <t>ツウジョウ</t>
    </rPh>
    <rPh sb="15" eb="16">
      <t>ショク</t>
    </rPh>
    <rPh sb="17" eb="19">
      <t>ドウジ</t>
    </rPh>
    <rPh sb="19" eb="21">
      <t>チュウモン</t>
    </rPh>
    <phoneticPr fontId="3"/>
  </si>
  <si>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3"/>
  </si>
  <si>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3"/>
  </si>
  <si>
    <r>
      <t>　注意⑦：本書をご提出いただく前に、</t>
    </r>
    <r>
      <rPr>
        <b/>
        <u/>
        <sz val="11"/>
        <color theme="1"/>
        <rFont val="HG丸ｺﾞｼｯｸM-PRO"/>
        <family val="3"/>
        <charset val="128"/>
      </rPr>
      <t>必ず『ご利用の手引き』をお読みください</t>
    </r>
    <r>
      <rPr>
        <sz val="11"/>
        <color theme="1"/>
        <rFont val="HG丸ｺﾞｼｯｸM-PRO"/>
        <family val="3"/>
        <charset val="128"/>
      </rPr>
      <t>。</t>
    </r>
    <rPh sb="1" eb="3">
      <t>チュウイ</t>
    </rPh>
    <rPh sb="5" eb="7">
      <t>ホンショ</t>
    </rPh>
    <rPh sb="9" eb="11">
      <t>テイシュツ</t>
    </rPh>
    <rPh sb="15" eb="16">
      <t>マエ</t>
    </rPh>
    <rPh sb="18" eb="19">
      <t>カナラ</t>
    </rPh>
    <rPh sb="22" eb="24">
      <t>リヨウ</t>
    </rPh>
    <rPh sb="25" eb="27">
      <t>テビ</t>
    </rPh>
    <rPh sb="31" eb="32">
      <t>ヨ</t>
    </rPh>
    <phoneticPr fontId="30"/>
  </si>
  <si>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3"/>
  </si>
  <si>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3"/>
  </si>
  <si>
    <r>
      <rPr>
        <b/>
        <sz val="12"/>
        <color indexed="8"/>
        <rFont val="BIZ UDPゴシック"/>
        <family val="3"/>
        <charset val="128"/>
      </rPr>
      <t>①</t>
    </r>
    <r>
      <rPr>
        <sz val="11"/>
        <color theme="1"/>
        <rFont val="BIZ UDPゴシック"/>
        <family val="3"/>
        <charset val="128"/>
      </rPr>
      <t>　</t>
    </r>
    <r>
      <rPr>
        <b/>
        <sz val="12"/>
        <color indexed="8"/>
        <rFont val="BIZ UDPゴシック"/>
        <family val="3"/>
        <charset val="128"/>
      </rPr>
      <t>７大アレルゲン対象者の有無　（太枠内のみ記入）</t>
    </r>
    <rPh sb="3" eb="4">
      <t>ダイ</t>
    </rPh>
    <rPh sb="9" eb="11">
      <t>タイショウ</t>
    </rPh>
    <rPh sb="11" eb="12">
      <t>シャ</t>
    </rPh>
    <rPh sb="13" eb="15">
      <t>ウム</t>
    </rPh>
    <rPh sb="17" eb="20">
      <t>フトワクナイ</t>
    </rPh>
    <rPh sb="22" eb="24">
      <t>キニュウ</t>
    </rPh>
    <phoneticPr fontId="3"/>
  </si>
  <si>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3"/>
  </si>
  <si>
    <t>　注意⑤：キッズメニューは、幼児を主体とする団体を対象とする個別食です。
　　　　　引率者等の大人の分は同内容で増量したものを提供します。</t>
    <rPh sb="1" eb="3">
      <t>チュウイ</t>
    </rPh>
    <rPh sb="14" eb="16">
      <t>ヨウジ</t>
    </rPh>
    <rPh sb="42" eb="46">
      <t>インソツシャトウ</t>
    </rPh>
    <rPh sb="47" eb="49">
      <t>オトナ</t>
    </rPh>
    <rPh sb="50" eb="51">
      <t>ブン</t>
    </rPh>
    <rPh sb="52" eb="55">
      <t>ドウナイヨウ</t>
    </rPh>
    <rPh sb="56" eb="58">
      <t>ゾウリョウ</t>
    </rPh>
    <rPh sb="63" eb="65">
      <t>テイキョウ</t>
    </rPh>
    <phoneticPr fontId="3"/>
  </si>
  <si>
    <t>（</t>
    <phoneticPr fontId="30"/>
  </si>
  <si>
    <t>変更</t>
    <rPh sb="0" eb="2">
      <t>ヘンコウ</t>
    </rPh>
    <phoneticPr fontId="3"/>
  </si>
  <si>
    <t>新規</t>
    <rPh sb="0" eb="2">
      <t>シンキ</t>
    </rPh>
    <phoneticPr fontId="3"/>
  </si>
  <si>
    <t>令和3</t>
    <rPh sb="0" eb="2">
      <t>レイワ</t>
    </rPh>
    <phoneticPr fontId="3"/>
  </si>
  <si>
    <t>午後1時
       ～午後1時</t>
    <rPh sb="0" eb="2">
      <t>ゴゴ</t>
    </rPh>
    <rPh sb="3" eb="4">
      <t>ジ</t>
    </rPh>
    <rPh sb="13" eb="15">
      <t>ゴゴ</t>
    </rPh>
    <rPh sb="16" eb="17">
      <t>ジ</t>
    </rPh>
    <phoneticPr fontId="3"/>
  </si>
  <si>
    <r>
      <t>※メニュー表及び原材料・成分表等を十分にご確認の上、必要に応じて</t>
    </r>
    <r>
      <rPr>
        <b/>
        <u/>
        <sz val="11"/>
        <color indexed="8"/>
        <rFont val="BIZ UDPゴシック"/>
        <family val="3"/>
        <charset val="128"/>
      </rPr>
      <t>太枠内のみ</t>
    </r>
    <r>
      <rPr>
        <sz val="11"/>
        <color indexed="8"/>
        <rFont val="BIZ UDPゴシック"/>
        <family val="3"/>
        <charset val="128"/>
      </rPr>
      <t>を記入してください。</t>
    </r>
    <rPh sb="5" eb="6">
      <t>ヒョウ</t>
    </rPh>
    <rPh sb="6" eb="7">
      <t>オヨ</t>
    </rPh>
    <rPh sb="8" eb="11">
      <t>ゲンザイリョウ</t>
    </rPh>
    <rPh sb="12" eb="14">
      <t>セイブン</t>
    </rPh>
    <rPh sb="14" eb="15">
      <t>ヒョウ</t>
    </rPh>
    <rPh sb="15" eb="16">
      <t>トウ</t>
    </rPh>
    <rPh sb="17" eb="19">
      <t>ジュウブン</t>
    </rPh>
    <rPh sb="21" eb="23">
      <t>カクニン</t>
    </rPh>
    <rPh sb="24" eb="25">
      <t>ウエ</t>
    </rPh>
    <rPh sb="26" eb="28">
      <t>ヒツヨウ</t>
    </rPh>
    <rPh sb="29" eb="30">
      <t>オウ</t>
    </rPh>
    <rPh sb="32" eb="35">
      <t>フトワクナイ</t>
    </rPh>
    <rPh sb="38" eb="40">
      <t>キニュウ</t>
    </rPh>
    <phoneticPr fontId="3"/>
  </si>
  <si>
    <t>携帯弁当（鮭・梅）</t>
    <rPh sb="0" eb="4">
      <t>ケイタイベントウ</t>
    </rPh>
    <rPh sb="5" eb="6">
      <t>サケ</t>
    </rPh>
    <rPh sb="7" eb="8">
      <t>ウメ</t>
    </rPh>
    <phoneticPr fontId="8"/>
  </si>
  <si>
    <t>携帯弁当（梅・梅）</t>
    <rPh sb="0" eb="4">
      <t>ケイタイベントウ</t>
    </rPh>
    <rPh sb="5" eb="6">
      <t>ウメ</t>
    </rPh>
    <rPh sb="7" eb="8">
      <t>ウメ</t>
    </rPh>
    <phoneticPr fontId="8"/>
  </si>
  <si>
    <t>携帯弁当（塩・塩）</t>
    <rPh sb="0" eb="4">
      <t>ケイタイベントウ</t>
    </rPh>
    <rPh sb="5" eb="6">
      <t>シオ</t>
    </rPh>
    <rPh sb="7" eb="8">
      <t>シオ</t>
    </rPh>
    <phoneticPr fontId="8"/>
  </si>
  <si>
    <t>11</t>
    <phoneticPr fontId="3"/>
  </si>
  <si>
    <t>携帯弁当（鮭・梅）</t>
    <rPh sb="0" eb="4">
      <t>ケイタイベントウ</t>
    </rPh>
    <rPh sb="5" eb="6">
      <t>サケ</t>
    </rPh>
    <rPh sb="7" eb="8">
      <t>ウメ</t>
    </rPh>
    <phoneticPr fontId="3"/>
  </si>
  <si>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
例：生徒数93名、教諭数20名⇒93名×0.2＝18.6→小数点以下切り捨てると１８
　　よって、18名が「引率者」、残り2名は「一般」として記入して頂きます。</t>
    </r>
    <rPh sb="0" eb="2">
      <t>チュウイ</t>
    </rPh>
    <rPh sb="130" eb="135">
      <t>ショウスウテンイカ</t>
    </rPh>
    <rPh sb="135" eb="136">
      <t>キ</t>
    </rPh>
    <rPh sb="137" eb="138">
      <t>ス</t>
    </rPh>
    <rPh sb="176" eb="177">
      <t>イタダ</t>
    </rPh>
    <phoneticPr fontId="8"/>
  </si>
  <si>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3"/>
  </si>
  <si>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3"/>
  </si>
  <si>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3"/>
  </si>
  <si>
    <t>滝野のいきものさがし図鑑</t>
    <rPh sb="0" eb="2">
      <t>タキノ</t>
    </rPh>
    <rPh sb="10" eb="12">
      <t>ズカン</t>
    </rPh>
    <phoneticPr fontId="3"/>
  </si>
  <si>
    <t>☑</t>
    <phoneticPr fontId="8"/>
  </si>
  <si>
    <t>□</t>
    <phoneticPr fontId="8"/>
  </si>
  <si>
    <t>令和５</t>
    <rPh sb="0" eb="2">
      <t>レイワ</t>
    </rPh>
    <phoneticPr fontId="8"/>
  </si>
  <si>
    <t>令和４</t>
    <rPh sb="0" eb="2">
      <t>レイワ</t>
    </rPh>
    <phoneticPr fontId="8"/>
  </si>
  <si>
    <t>令和３</t>
    <rPh sb="0" eb="2">
      <t>レイワ</t>
    </rPh>
    <phoneticPr fontId="31"/>
  </si>
  <si>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3"/>
  </si>
  <si>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3"/>
  </si>
  <si>
    <t>連絡の必要はありません</t>
    <phoneticPr fontId="30"/>
  </si>
  <si>
    <t>提出してください</t>
    <phoneticPr fontId="30"/>
  </si>
  <si>
    <t>日曜メニュー</t>
    <rPh sb="0" eb="2">
      <t>ニチヨウ</t>
    </rPh>
    <phoneticPr fontId="8"/>
  </si>
  <si>
    <t>土曜メニュー</t>
    <rPh sb="0" eb="2">
      <t>ドヨウ</t>
    </rPh>
    <phoneticPr fontId="8"/>
  </si>
  <si>
    <t xml:space="preserve"> 提供はありません。</t>
    <phoneticPr fontId="3"/>
  </si>
  <si>
    <t>軟石クラフト※指導あり</t>
    <rPh sb="0" eb="2">
      <t>ナンセキ</t>
    </rPh>
    <rPh sb="7" eb="9">
      <t>シドウ</t>
    </rPh>
    <phoneticPr fontId="3"/>
  </si>
  <si>
    <t>炊事　薪（１束料金の案分不可）</t>
    <rPh sb="0" eb="2">
      <t>スイジ</t>
    </rPh>
    <rPh sb="3" eb="4">
      <t>マキ</t>
    </rPh>
    <rPh sb="6" eb="7">
      <t>タバ</t>
    </rPh>
    <rPh sb="7" eb="9">
      <t>リョウキン</t>
    </rPh>
    <rPh sb="10" eb="12">
      <t>アンブン</t>
    </rPh>
    <rPh sb="12" eb="14">
      <t>フカ</t>
    </rPh>
    <phoneticPr fontId="3"/>
  </si>
  <si>
    <t>※「防災炊事」実施時必要</t>
    <rPh sb="7" eb="10">
      <t>ジッシジ</t>
    </rPh>
    <rPh sb="10" eb="12">
      <t>ヒツヨウ</t>
    </rPh>
    <phoneticPr fontId="3"/>
  </si>
  <si>
    <t>料金区分</t>
    <rPh sb="0" eb="4">
      <t>リョウキンクブン</t>
    </rPh>
    <phoneticPr fontId="8"/>
  </si>
  <si>
    <t>減免区分</t>
    <rPh sb="0" eb="4">
      <t>ゲンメンクブン</t>
    </rPh>
    <phoneticPr fontId="8"/>
  </si>
  <si>
    <t>介添</t>
    <rPh sb="0" eb="2">
      <t>カイゾ</t>
    </rPh>
    <phoneticPr fontId="8"/>
  </si>
  <si>
    <t>一般日帰/２DAY</t>
    <rPh sb="0" eb="2">
      <t>イッパン</t>
    </rPh>
    <rPh sb="2" eb="4">
      <t>ヒガエ</t>
    </rPh>
    <phoneticPr fontId="8"/>
  </si>
  <si>
    <t>令和3</t>
    <rPh sb="0" eb="2">
      <t>レイワ</t>
    </rPh>
    <phoneticPr fontId="8"/>
  </si>
  <si>
    <t>令和4</t>
    <rPh sb="0" eb="2">
      <t>レイワ</t>
    </rPh>
    <phoneticPr fontId="8"/>
  </si>
  <si>
    <t>)</t>
    <phoneticPr fontId="3"/>
  </si>
  <si>
    <t>朝　食</t>
    <rPh sb="0" eb="1">
      <t>アサ</t>
    </rPh>
    <rPh sb="2" eb="3">
      <t>ショク</t>
    </rPh>
    <phoneticPr fontId="8"/>
  </si>
  <si>
    <t>夕　食</t>
    <rPh sb="0" eb="1">
      <t>ユウ</t>
    </rPh>
    <rPh sb="2" eb="3">
      <t>ショク</t>
    </rPh>
    <phoneticPr fontId="8"/>
  </si>
  <si>
    <t>昼　食</t>
    <rPh sb="0" eb="1">
      <t>ヒル</t>
    </rPh>
    <rPh sb="2" eb="3">
      <t>ショク</t>
    </rPh>
    <phoneticPr fontId="8"/>
  </si>
  <si>
    <t>　　 メニュー
　　 　　　内容
要対応
アレルゲン</t>
    <rPh sb="14" eb="16">
      <t>ナイヨウ</t>
    </rPh>
    <rPh sb="23" eb="24">
      <t>ヨウ</t>
    </rPh>
    <rPh sb="24" eb="26">
      <t>タイオウ</t>
    </rPh>
    <phoneticPr fontId="3"/>
  </si>
  <si>
    <t>令和４</t>
    <rPh sb="0" eb="2">
      <t>レイワ</t>
    </rPh>
    <phoneticPr fontId="31"/>
  </si>
  <si>
    <t>　携帯弁当（鮭・梅）</t>
    <phoneticPr fontId="30"/>
  </si>
  <si>
    <t>携帯弁当（鮭・梅）</t>
    <rPh sb="0" eb="2">
      <t>ケイタイ</t>
    </rPh>
    <rPh sb="5" eb="6">
      <t>サケ</t>
    </rPh>
    <rPh sb="7" eb="8">
      <t>ウメ</t>
    </rPh>
    <phoneticPr fontId="30"/>
  </si>
  <si>
    <t>携帯弁当（鮭・梅）</t>
    <rPh sb="0" eb="4">
      <t>ケイタイベントウ</t>
    </rPh>
    <rPh sb="7" eb="8">
      <t>ウメ</t>
    </rPh>
    <phoneticPr fontId="30"/>
  </si>
  <si>
    <t>　おにぎり（鮭・梅）</t>
    <rPh sb="6" eb="7">
      <t>サケ</t>
    </rPh>
    <rPh sb="8" eb="9">
      <t>ウメ</t>
    </rPh>
    <phoneticPr fontId="3"/>
  </si>
  <si>
    <t>　おにぎり（梅・梅）</t>
    <rPh sb="6" eb="7">
      <t>ウメ</t>
    </rPh>
    <rPh sb="8" eb="9">
      <t>ウメ</t>
    </rPh>
    <phoneticPr fontId="3"/>
  </si>
  <si>
    <t>　おにぎり（塩・塩）</t>
    <rPh sb="6" eb="7">
      <t>シオ</t>
    </rPh>
    <rPh sb="8" eb="9">
      <t>シオ</t>
    </rPh>
    <phoneticPr fontId="3"/>
  </si>
  <si>
    <t>　携帯弁当（梅・梅）</t>
    <rPh sb="1" eb="3">
      <t>ケイタイ</t>
    </rPh>
    <rPh sb="3" eb="5">
      <t>ベントウ</t>
    </rPh>
    <rPh sb="6" eb="7">
      <t>ウメ</t>
    </rPh>
    <rPh sb="8" eb="9">
      <t>ウメ</t>
    </rPh>
    <phoneticPr fontId="3"/>
  </si>
  <si>
    <t>　携帯弁当（塩・塩）</t>
    <rPh sb="1" eb="3">
      <t>ケイタイ</t>
    </rPh>
    <rPh sb="3" eb="5">
      <t>ベントウ</t>
    </rPh>
    <rPh sb="6" eb="7">
      <t>シオ</t>
    </rPh>
    <rPh sb="8" eb="9">
      <t>シオ</t>
    </rPh>
    <phoneticPr fontId="3"/>
  </si>
  <si>
    <t>おにぎり（鮭・梅）</t>
    <rPh sb="7" eb="8">
      <t>ウメ</t>
    </rPh>
    <phoneticPr fontId="30"/>
  </si>
  <si>
    <t>おにぎり（梅・梅）</t>
    <phoneticPr fontId="30"/>
  </si>
  <si>
    <t>おにぎり（塩・塩）</t>
    <rPh sb="5" eb="6">
      <t>シオ</t>
    </rPh>
    <rPh sb="7" eb="8">
      <t>シオ</t>
    </rPh>
    <phoneticPr fontId="30"/>
  </si>
  <si>
    <t>携帯弁当（梅・梅）</t>
    <rPh sb="0" eb="2">
      <t>ケイタイ</t>
    </rPh>
    <rPh sb="5" eb="6">
      <t>ウメ</t>
    </rPh>
    <rPh sb="7" eb="8">
      <t>ウメ</t>
    </rPh>
    <phoneticPr fontId="30"/>
  </si>
  <si>
    <t>携帯弁当（塩・塩）</t>
    <rPh sb="0" eb="2">
      <t>ケイタイ</t>
    </rPh>
    <rPh sb="5" eb="6">
      <t>シオ</t>
    </rPh>
    <rPh sb="7" eb="8">
      <t>シオ</t>
    </rPh>
    <phoneticPr fontId="30"/>
  </si>
  <si>
    <t>携帯弁当（梅・梅）</t>
    <rPh sb="0" eb="2">
      <t>ケイタイ</t>
    </rPh>
    <phoneticPr fontId="30"/>
  </si>
  <si>
    <t>　携帯弁当（鮭・梅）</t>
    <rPh sb="1" eb="3">
      <t>ケイタイ</t>
    </rPh>
    <rPh sb="3" eb="5">
      <t>ベントウ</t>
    </rPh>
    <rPh sb="6" eb="7">
      <t>サケ</t>
    </rPh>
    <rPh sb="8" eb="9">
      <t>ウメ</t>
    </rPh>
    <phoneticPr fontId="3"/>
  </si>
  <si>
    <r>
      <t>ご入館日</t>
    </r>
    <r>
      <rPr>
        <b/>
        <u/>
        <sz val="10.5"/>
        <color theme="0"/>
        <rFont val="BIZ UDPゴシック"/>
        <family val="3"/>
        <charset val="128"/>
      </rPr>
      <t>1か月前まで</t>
    </r>
    <rPh sb="1" eb="3">
      <t>ニュウカン</t>
    </rPh>
    <rPh sb="3" eb="4">
      <t>ビ</t>
    </rPh>
    <rPh sb="6" eb="7">
      <t>ゲツ</t>
    </rPh>
    <rPh sb="7" eb="8">
      <t>マエ</t>
    </rPh>
    <phoneticPr fontId="5"/>
  </si>
  <si>
    <r>
      <t>ご入館日</t>
    </r>
    <r>
      <rPr>
        <b/>
        <u/>
        <sz val="10.5"/>
        <color theme="1"/>
        <rFont val="BIZ UDPゴシック"/>
        <family val="3"/>
        <charset val="128"/>
      </rPr>
      <t>２週間前まで</t>
    </r>
    <rPh sb="1" eb="3">
      <t>ニュウカン</t>
    </rPh>
    <rPh sb="3" eb="4">
      <t>ヒ</t>
    </rPh>
    <rPh sb="5" eb="7">
      <t>シュウカン</t>
    </rPh>
    <rPh sb="7" eb="8">
      <t>マエ</t>
    </rPh>
    <phoneticPr fontId="5"/>
  </si>
  <si>
    <r>
      <t>ご入館日</t>
    </r>
    <r>
      <rPr>
        <b/>
        <u/>
        <sz val="10.5"/>
        <color theme="1"/>
        <rFont val="BIZ UDPゴシック"/>
        <family val="3"/>
        <charset val="128"/>
      </rPr>
      <t>２週間前まで</t>
    </r>
    <r>
      <rPr>
        <sz val="11"/>
        <color theme="1"/>
        <rFont val="ＭＳ Ｐゴシック"/>
        <family val="2"/>
        <charset val="128"/>
        <scheme val="minor"/>
      </rPr>
      <t/>
    </r>
    <rPh sb="1" eb="3">
      <t>ニュウカン</t>
    </rPh>
    <rPh sb="3" eb="4">
      <t>ヒ</t>
    </rPh>
    <rPh sb="5" eb="7">
      <t>シュウカン</t>
    </rPh>
    <rPh sb="7" eb="8">
      <t>マエ</t>
    </rPh>
    <phoneticPr fontId="5"/>
  </si>
  <si>
    <t>0５ 利用者名簿</t>
    <rPh sb="3" eb="6">
      <t>リヨウシャ</t>
    </rPh>
    <rPh sb="6" eb="8">
      <t>メイボ</t>
    </rPh>
    <phoneticPr fontId="5"/>
  </si>
  <si>
    <t>0６ 人数報告用紙</t>
    <rPh sb="3" eb="5">
      <t>ニンズウ</t>
    </rPh>
    <rPh sb="5" eb="7">
      <t>ホウコク</t>
    </rPh>
    <rPh sb="7" eb="9">
      <t>ヨウシ</t>
    </rPh>
    <phoneticPr fontId="5"/>
  </si>
  <si>
    <t>0７ 使用料減免申請書</t>
    <rPh sb="3" eb="6">
      <t>シヨウリョウ</t>
    </rPh>
    <rPh sb="6" eb="8">
      <t>ゲンメン</t>
    </rPh>
    <rPh sb="8" eb="11">
      <t>シンセイショ</t>
    </rPh>
    <phoneticPr fontId="5"/>
  </si>
  <si>
    <t>代表者</t>
    <rPh sb="0" eb="3">
      <t>ダイヒョウシャ</t>
    </rPh>
    <phoneticPr fontId="3"/>
  </si>
  <si>
    <t>(定員１２人)</t>
    <rPh sb="1" eb="3">
      <t>テイイン</t>
    </rPh>
    <rPh sb="5" eb="6">
      <t>ニン</t>
    </rPh>
    <phoneticPr fontId="3"/>
  </si>
  <si>
    <t>(定員 ３人)</t>
    <rPh sb="1" eb="3">
      <t>テイイン</t>
    </rPh>
    <rPh sb="5" eb="6">
      <t>ニン</t>
    </rPh>
    <phoneticPr fontId="3"/>
  </si>
  <si>
    <t>キッズ</t>
    <phoneticPr fontId="30"/>
  </si>
  <si>
    <r>
      <t>　お申し込み（予約及び全ての申請書類提出）は、</t>
    </r>
    <r>
      <rPr>
        <b/>
        <u/>
        <sz val="10.5"/>
        <color theme="1"/>
        <rFont val="BIZ UDPゴシック"/>
        <family val="3"/>
        <charset val="128"/>
      </rPr>
      <t>ご入館日２週間前の１７時をもって締め切り</t>
    </r>
    <r>
      <rPr>
        <sz val="10.5"/>
        <color theme="1"/>
        <rFont val="BIZ UDPゴシック"/>
        <family val="3"/>
        <charset val="128"/>
      </rPr>
      <t>とさせていただきます。
　全ての書類が整わなくとも、見込みの内容でかまいませんので、ご作成可能な書類から順次ご提出いただくことをお勧めします。正確な内容につきましては後日お知らせください。</t>
    </r>
    <rPh sb="2" eb="3">
      <t>モウ</t>
    </rPh>
    <rPh sb="4" eb="5">
      <t>コ</t>
    </rPh>
    <rPh sb="7" eb="9">
      <t>ヨヤク</t>
    </rPh>
    <rPh sb="9" eb="10">
      <t>オヨ</t>
    </rPh>
    <rPh sb="11" eb="12">
      <t>スベ</t>
    </rPh>
    <rPh sb="14" eb="16">
      <t>シンセイ</t>
    </rPh>
    <rPh sb="16" eb="18">
      <t>ショルイ</t>
    </rPh>
    <rPh sb="18" eb="20">
      <t>テイシュツ</t>
    </rPh>
    <rPh sb="24" eb="27">
      <t>ニュウカンビ</t>
    </rPh>
    <rPh sb="28" eb="30">
      <t>シュウカン</t>
    </rPh>
    <rPh sb="30" eb="31">
      <t>マエ</t>
    </rPh>
    <rPh sb="34" eb="35">
      <t>ジ</t>
    </rPh>
    <rPh sb="39" eb="40">
      <t>シ</t>
    </rPh>
    <rPh sb="41" eb="42">
      <t>キ</t>
    </rPh>
    <phoneticPr fontId="5"/>
  </si>
  <si>
    <t>08 車両動向報告書</t>
    <rPh sb="3" eb="5">
      <t>シャリョウ</t>
    </rPh>
    <rPh sb="5" eb="7">
      <t>ドウコウ</t>
    </rPh>
    <rPh sb="7" eb="10">
      <t>ホウコクショ</t>
    </rPh>
    <phoneticPr fontId="5"/>
  </si>
  <si>
    <t>09 利用日変更(取消)報告書</t>
    <rPh sb="3" eb="5">
      <t>リヨウ</t>
    </rPh>
    <rPh sb="5" eb="6">
      <t>ビ</t>
    </rPh>
    <rPh sb="6" eb="8">
      <t>ヘンコウ</t>
    </rPh>
    <rPh sb="9" eb="11">
      <t>トリケシ</t>
    </rPh>
    <rPh sb="12" eb="15">
      <t>ホウコクショ</t>
    </rPh>
    <phoneticPr fontId="5"/>
  </si>
  <si>
    <t>(定員12人)</t>
    <rPh sb="1" eb="3">
      <t>テイイン</t>
    </rPh>
    <rPh sb="5" eb="6">
      <t>ニン</t>
    </rPh>
    <phoneticPr fontId="3"/>
  </si>
  <si>
    <t>(定員 3人)</t>
    <rPh sb="1" eb="3">
      <t>テイイン</t>
    </rPh>
    <rPh sb="5" eb="6">
      <t>ニン</t>
    </rPh>
    <phoneticPr fontId="3"/>
  </si>
  <si>
    <r>
      <rPr>
        <b/>
        <sz val="9"/>
        <color theme="1"/>
        <rFont val="BIZ UDPゴシック"/>
        <family val="3"/>
        <charset val="128"/>
      </rPr>
      <t>注１：</t>
    </r>
    <r>
      <rPr>
        <sz val="9"/>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9"/>
        <color theme="1"/>
        <rFont val="BIZ UDPゴシック"/>
        <family val="3"/>
        <charset val="128"/>
      </rPr>
      <t>注２：</t>
    </r>
    <r>
      <rPr>
        <sz val="9"/>
        <color theme="1"/>
        <rFont val="BIZ UDPゴシック"/>
        <family val="3"/>
        <charset val="128"/>
      </rPr>
      <t xml:space="preserve">入館日の2週間前までに、すべての申請書類をご提出ください。
</t>
    </r>
    <r>
      <rPr>
        <b/>
        <sz val="9"/>
        <color theme="1"/>
        <rFont val="BIZ UDPゴシック"/>
        <family val="3"/>
        <charset val="128"/>
      </rPr>
      <t>注3：</t>
    </r>
    <r>
      <rPr>
        <sz val="9"/>
        <color theme="1"/>
        <rFont val="BIZ UDPゴシック"/>
        <family val="3"/>
        <charset val="128"/>
      </rPr>
      <t>当施設における学校団体とは、学校教育法第1条及び認定こども園法による教育施設並びに保育所を区分とします。
この際、教育施設及び保育所全体の教育課程、事業計画等に位置づけられていない利用は、学校団体ではなく、一般団体扱いとなります。　　</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7" eb="108">
      <t>トウシセツ</t>
    </rPh>
    <rPh sb="108" eb="109">
      <t>チュウ</t>
    </rPh>
    <rPh sb="111" eb="113">
      <t>ガッコウ</t>
    </rPh>
    <rPh sb="113" eb="115">
      <t>ダンタイ</t>
    </rPh>
    <rPh sb="118" eb="120">
      <t>ガッコウ</t>
    </rPh>
    <rPh sb="126" eb="127">
      <t>ダイ</t>
    </rPh>
    <rPh sb="128" eb="130">
      <t>ニンテイ</t>
    </rPh>
    <rPh sb="133" eb="134">
      <t>エン</t>
    </rPh>
    <rPh sb="134" eb="135">
      <t>ホウ</t>
    </rPh>
    <rPh sb="138" eb="140">
      <t>キョウイク</t>
    </rPh>
    <rPh sb="140" eb="142">
      <t>シセツ</t>
    </rPh>
    <rPh sb="145" eb="146">
      <t>ナラ</t>
    </rPh>
    <rPh sb="149" eb="151">
      <t>クブン</t>
    </rPh>
    <rPh sb="163" eb="164">
      <t>サイキョウイク</t>
    </rPh>
    <rPh sb="165" eb="166">
      <t>オヨ</t>
    </rPh>
    <rPh sb="167" eb="170">
      <t>ホイクショ</t>
    </rPh>
    <rPh sb="170" eb="172">
      <t>ゼンタイ</t>
    </rPh>
    <rPh sb="173" eb="175">
      <t>キョウイク</t>
    </rPh>
    <rPh sb="181" eb="183">
      <t>ジギョウ</t>
    </rPh>
    <rPh sb="194" eb="196">
      <t>リヨウ</t>
    </rPh>
    <rPh sb="201" eb="203">
      <t>ガッコウ</t>
    </rPh>
    <rPh sb="203" eb="205">
      <t>ダンタイ</t>
    </rPh>
    <rPh sb="207" eb="209">
      <t>イッパン</t>
    </rPh>
    <rPh sb="209" eb="211">
      <t>ダンタイ</t>
    </rPh>
    <rPh sb="211" eb="212">
      <t>アツカ</t>
    </rPh>
    <phoneticPr fontId="3"/>
  </si>
  <si>
    <t>ベースボールスクール山の家</t>
    <rPh sb="10" eb="11">
      <t>ヤマ</t>
    </rPh>
    <rPh sb="12" eb="13">
      <t>イエ</t>
    </rPh>
    <phoneticPr fontId="3"/>
  </si>
  <si>
    <t>べーすぼーるすくーるやまのいえ</t>
    <phoneticPr fontId="3"/>
  </si>
  <si>
    <t>幼児
3才～</t>
    <rPh sb="0" eb="2">
      <t>ヨウジ</t>
    </rPh>
    <rPh sb="4" eb="5">
      <t>サイ</t>
    </rPh>
    <phoneticPr fontId="30"/>
  </si>
  <si>
    <t>キッズ</t>
    <phoneticPr fontId="8"/>
  </si>
  <si>
    <t>おにぎり（鮭・梅）</t>
    <rPh sb="5" eb="6">
      <t>サケ</t>
    </rPh>
    <rPh sb="7" eb="8">
      <t>ウメ</t>
    </rPh>
    <phoneticPr fontId="8"/>
  </si>
  <si>
    <t>おにぎり（梅・梅）</t>
    <rPh sb="5" eb="6">
      <t>ウメ</t>
    </rPh>
    <rPh sb="7" eb="8">
      <t>ウメ</t>
    </rPh>
    <phoneticPr fontId="8"/>
  </si>
  <si>
    <t>おにぎり（塩・塩）</t>
    <rPh sb="5" eb="6">
      <t>シオ</t>
    </rPh>
    <rPh sb="7" eb="8">
      <t>シオ</t>
    </rPh>
    <phoneticPr fontId="8"/>
  </si>
  <si>
    <t>ベースボールスクール山の家</t>
    <phoneticPr fontId="3"/>
  </si>
  <si>
    <t>身体障害者手
帳所持者</t>
    <rPh sb="0" eb="2">
      <t>シンタイ</t>
    </rPh>
    <rPh sb="2" eb="5">
      <t>ショウガイシャ</t>
    </rPh>
    <rPh sb="5" eb="6">
      <t>テ</t>
    </rPh>
    <rPh sb="7" eb="8">
      <t>チョウ</t>
    </rPh>
    <rPh sb="8" eb="10">
      <t>ショジ</t>
    </rPh>
    <rPh sb="10" eb="11">
      <t>シャ</t>
    </rPh>
    <phoneticPr fontId="3"/>
  </si>
  <si>
    <t>療育手帳所持
者</t>
    <rPh sb="0" eb="2">
      <t>リョウイク</t>
    </rPh>
    <rPh sb="2" eb="3">
      <t>テ</t>
    </rPh>
    <rPh sb="3" eb="4">
      <t>チョウ</t>
    </rPh>
    <rPh sb="4" eb="6">
      <t>ショジ</t>
    </rPh>
    <rPh sb="7" eb="8">
      <t>シャ</t>
    </rPh>
    <phoneticPr fontId="3"/>
  </si>
  <si>
    <t>精神障害者福
祉手帳所持者</t>
    <rPh sb="0" eb="2">
      <t>セイシン</t>
    </rPh>
    <rPh sb="2" eb="5">
      <t>ショウガイシャ</t>
    </rPh>
    <rPh sb="5" eb="6">
      <t>フク</t>
    </rPh>
    <rPh sb="7" eb="8">
      <t>シ</t>
    </rPh>
    <rPh sb="8" eb="10">
      <t>テチョウ</t>
    </rPh>
    <rPh sb="10" eb="12">
      <t>ショジ</t>
    </rPh>
    <rPh sb="12" eb="13">
      <t>シャ</t>
    </rPh>
    <phoneticPr fontId="3"/>
  </si>
  <si>
    <t>児童福祉法に
規定する児童　
福祉施設</t>
    <rPh sb="0" eb="2">
      <t>ジドウ</t>
    </rPh>
    <rPh sb="2" eb="5">
      <t>フクシホウ</t>
    </rPh>
    <rPh sb="7" eb="9">
      <t>キテイ</t>
    </rPh>
    <rPh sb="11" eb="13">
      <t>ジドウ</t>
    </rPh>
    <rPh sb="15" eb="17">
      <t>フクシ</t>
    </rPh>
    <rPh sb="17" eb="19">
      <t>シセツ</t>
    </rPh>
    <phoneticPr fontId="3"/>
  </si>
  <si>
    <t>身</t>
  </si>
  <si>
    <t>身</t>
    <rPh sb="0" eb="1">
      <t>シン</t>
    </rPh>
    <phoneticPr fontId="3"/>
  </si>
  <si>
    <t>療</t>
  </si>
  <si>
    <t>児</t>
    <rPh sb="0" eb="1">
      <t>ジ</t>
    </rPh>
    <phoneticPr fontId="3"/>
  </si>
  <si>
    <t>左記の手帳保持者を介護する職員など</t>
    <rPh sb="0" eb="2">
      <t>サキ</t>
    </rPh>
    <rPh sb="3" eb="8">
      <t>テチョウホジシャ</t>
    </rPh>
    <rPh sb="9" eb="11">
      <t>カイゴ</t>
    </rPh>
    <rPh sb="13" eb="15">
      <t>ショクイン</t>
    </rPh>
    <phoneticPr fontId="3"/>
  </si>
  <si>
    <t>高</t>
    <rPh sb="0" eb="1">
      <t>コウ</t>
    </rPh>
    <phoneticPr fontId="3"/>
  </si>
  <si>
    <t>高校生</t>
    <rPh sb="0" eb="3">
      <t>コウコウセイ</t>
    </rPh>
    <phoneticPr fontId="8"/>
  </si>
  <si>
    <t>引①</t>
    <rPh sb="0" eb="1">
      <t>イン</t>
    </rPh>
    <phoneticPr fontId="8"/>
  </si>
  <si>
    <t>引②</t>
    <rPh sb="0" eb="1">
      <t>イン</t>
    </rPh>
    <phoneticPr fontId="3"/>
  </si>
  <si>
    <t>引率者
（～６４才）</t>
    <rPh sb="0" eb="3">
      <t>インソツシャ</t>
    </rPh>
    <rPh sb="8" eb="9">
      <t>サイ</t>
    </rPh>
    <phoneticPr fontId="8"/>
  </si>
  <si>
    <t>引率者
（６５才～）</t>
    <rPh sb="0" eb="3">
      <t>インソツシャ</t>
    </rPh>
    <rPh sb="7" eb="8">
      <t>サイ</t>
    </rPh>
    <phoneticPr fontId="8"/>
  </si>
  <si>
    <t>一般
（～６４才）</t>
    <rPh sb="0" eb="2">
      <t>イッパン</t>
    </rPh>
    <rPh sb="7" eb="8">
      <t>サイ</t>
    </rPh>
    <phoneticPr fontId="8"/>
  </si>
  <si>
    <t>一①</t>
    <rPh sb="0" eb="1">
      <t>イチ</t>
    </rPh>
    <phoneticPr fontId="8"/>
  </si>
  <si>
    <t>一②</t>
    <rPh sb="0" eb="1">
      <t>イチ</t>
    </rPh>
    <phoneticPr fontId="3"/>
  </si>
  <si>
    <t>一般
(65才～）</t>
    <rPh sb="0" eb="2">
      <t>イッパン</t>
    </rPh>
    <rPh sb="6" eb="7">
      <t>サイ</t>
    </rPh>
    <phoneticPr fontId="3"/>
  </si>
  <si>
    <t>～２才</t>
    <phoneticPr fontId="8"/>
  </si>
  <si>
    <t>３才</t>
    <phoneticPr fontId="8"/>
  </si>
  <si>
    <t>４才～</t>
    <phoneticPr fontId="8"/>
  </si>
  <si>
    <t>幼①</t>
    <rPh sb="0" eb="1">
      <t>ヨウ</t>
    </rPh>
    <phoneticPr fontId="8"/>
  </si>
  <si>
    <t>幼②</t>
    <rPh sb="0" eb="1">
      <t>ヨウ</t>
    </rPh>
    <phoneticPr fontId="8"/>
  </si>
  <si>
    <t>幼③</t>
    <rPh sb="0" eb="1">
      <t>ヨウ</t>
    </rPh>
    <phoneticPr fontId="8"/>
  </si>
  <si>
    <t>高</t>
    <rPh sb="0" eb="1">
      <t>コウ</t>
    </rPh>
    <phoneticPr fontId="8"/>
  </si>
  <si>
    <t>引②</t>
    <rPh sb="0" eb="1">
      <t>イン</t>
    </rPh>
    <phoneticPr fontId="8"/>
  </si>
  <si>
    <t>一②</t>
    <rPh sb="0" eb="1">
      <t>イチ</t>
    </rPh>
    <phoneticPr fontId="8"/>
  </si>
  <si>
    <r>
      <rPr>
        <b/>
        <sz val="12"/>
        <color rgb="FF000000"/>
        <rFont val="BIZ UDPゴシック"/>
        <family val="3"/>
        <charset val="128"/>
      </rPr>
      <t>注意３：</t>
    </r>
    <r>
      <rPr>
        <b/>
        <u/>
        <sz val="12"/>
        <color indexed="8"/>
        <rFont val="BIZ UDPゴシック"/>
        <family val="3"/>
        <charset val="128"/>
      </rPr>
      <t>「引率者」の料金区分適用は、ご利用される「各料金区分者数」の20％まで</t>
    </r>
    <r>
      <rPr>
        <sz val="12"/>
        <color indexed="8"/>
        <rFont val="BIZ UDPゴシック"/>
        <family val="3"/>
        <charset val="128"/>
      </rPr>
      <t>（小数点以下切り捨て）の人数となっております。これを超えた人数は、教諭であったとしても、「一般」の料金区分でご記入ください。
例：小学生50名、中学生２０名、引率者20名⇒小学生52名×0.2＝10.4→小数点以下切り捨てると10
　　 中学生２０名×0.2＝４
　　 よって、1４名が「引率者」で、残り６名が「一般」としてご記入ください。</t>
    </r>
    <rPh sb="0" eb="2">
      <t>チュウイ</t>
    </rPh>
    <rPh sb="30" eb="32">
      <t>シャスウ</t>
    </rPh>
    <rPh sb="104" eb="107">
      <t>ショウガクセイ</t>
    </rPh>
    <rPh sb="111" eb="114">
      <t>チュウガクセイ</t>
    </rPh>
    <rPh sb="116" eb="117">
      <t>メイ</t>
    </rPh>
    <rPh sb="118" eb="121">
      <t>インソツシャ</t>
    </rPh>
    <rPh sb="125" eb="128">
      <t>ショウガクセイ</t>
    </rPh>
    <rPh sb="141" eb="146">
      <t>ショウスウテンイカ</t>
    </rPh>
    <rPh sb="146" eb="147">
      <t>キ</t>
    </rPh>
    <rPh sb="148" eb="149">
      <t>ス</t>
    </rPh>
    <rPh sb="158" eb="161">
      <t>チュウガクセイ</t>
    </rPh>
    <rPh sb="163" eb="164">
      <t>メイ</t>
    </rPh>
    <rPh sb="180" eb="181">
      <t>メイ</t>
    </rPh>
    <rPh sb="183" eb="186">
      <t>インソツシャ</t>
    </rPh>
    <rPh sb="189" eb="190">
      <t>ノコ</t>
    </rPh>
    <rPh sb="192" eb="193">
      <t>メイ</t>
    </rPh>
    <rPh sb="195" eb="197">
      <t>イッパン</t>
    </rPh>
    <rPh sb="202" eb="204">
      <t>キニュウ</t>
    </rPh>
    <phoneticPr fontId="8"/>
  </si>
  <si>
    <r>
      <rPr>
        <b/>
        <sz val="12"/>
        <color rgb="FF000000"/>
        <rFont val="BIZ UDPゴシック"/>
        <family val="3"/>
        <charset val="128"/>
      </rPr>
      <t>注意２：</t>
    </r>
    <r>
      <rPr>
        <b/>
        <u/>
        <sz val="12"/>
        <color indexed="8"/>
        <rFont val="BIZ UDPゴシック"/>
        <family val="3"/>
        <charset val="128"/>
      </rPr>
      <t>カメラマンは「一般」の料金区分</t>
    </r>
    <r>
      <rPr>
        <sz val="12"/>
        <color indexed="8"/>
        <rFont val="BIZ UDPゴシック"/>
        <family val="3"/>
        <charset val="128"/>
      </rPr>
      <t>となります。</t>
    </r>
    <rPh sb="0" eb="2">
      <t>チュウイ</t>
    </rPh>
    <rPh sb="11" eb="13">
      <t>イッパン</t>
    </rPh>
    <rPh sb="15" eb="17">
      <t>リョウキン</t>
    </rPh>
    <rPh sb="17" eb="19">
      <t>クブン</t>
    </rPh>
    <phoneticPr fontId="3"/>
  </si>
  <si>
    <t>団体（20名以上）：高校生～大人</t>
    <rPh sb="0" eb="2">
      <t>ダンタイ</t>
    </rPh>
    <rPh sb="5" eb="6">
      <t>メイ</t>
    </rPh>
    <rPh sb="6" eb="8">
      <t>イジョウ</t>
    </rPh>
    <rPh sb="10" eb="13">
      <t>コウコウセイ</t>
    </rPh>
    <rPh sb="14" eb="16">
      <t>オトナ</t>
    </rPh>
    <phoneticPr fontId="3"/>
  </si>
  <si>
    <t>一般：高校生～大人</t>
    <rPh sb="0" eb="2">
      <t>イッパン</t>
    </rPh>
    <rPh sb="3" eb="6">
      <t>コウコウセイ</t>
    </rPh>
    <rPh sb="7" eb="9">
      <t>オトナ</t>
    </rPh>
    <phoneticPr fontId="3"/>
  </si>
  <si>
    <t>シルバー（65才以上）</t>
    <rPh sb="7" eb="8">
      <t>サイ</t>
    </rPh>
    <rPh sb="8" eb="10">
      <t>イジョウ</t>
    </rPh>
    <phoneticPr fontId="3"/>
  </si>
  <si>
    <t>無料、減免対象者　（小学生
未満、手帳所持者・介添者）</t>
    <rPh sb="0" eb="2">
      <t>ムリョウ</t>
    </rPh>
    <rPh sb="3" eb="5">
      <t>ゲンメン</t>
    </rPh>
    <rPh sb="5" eb="7">
      <t>タイショウ</t>
    </rPh>
    <rPh sb="7" eb="8">
      <t>シャ</t>
    </rPh>
    <rPh sb="10" eb="13">
      <t>ショウガクセイ</t>
    </rPh>
    <rPh sb="14" eb="16">
      <t>ミマン</t>
    </rPh>
    <rPh sb="17" eb="19">
      <t>テチョウ</t>
    </rPh>
    <rPh sb="19" eb="22">
      <t>ショジシャ</t>
    </rPh>
    <rPh sb="23" eb="25">
      <t>カイゾ</t>
    </rPh>
    <rPh sb="25" eb="26">
      <t>シャ</t>
    </rPh>
    <phoneticPr fontId="23"/>
  </si>
  <si>
    <t>▼選択してください（高校生～大人）▼</t>
    <rPh sb="1" eb="3">
      <t>センタク</t>
    </rPh>
    <rPh sb="10" eb="13">
      <t>コウコウセイ</t>
    </rPh>
    <rPh sb="14" eb="16">
      <t>オトナ</t>
    </rPh>
    <phoneticPr fontId="3"/>
  </si>
  <si>
    <t>団体（20名以上）：高校生～大人（２日券）</t>
    <rPh sb="0" eb="2">
      <t>ダンタイ</t>
    </rPh>
    <rPh sb="5" eb="8">
      <t>メイイジョウ</t>
    </rPh>
    <rPh sb="10" eb="13">
      <t>コウコウセイ</t>
    </rPh>
    <rPh sb="14" eb="16">
      <t>オトナ</t>
    </rPh>
    <rPh sb="18" eb="19">
      <t>ニチ</t>
    </rPh>
    <rPh sb="19" eb="20">
      <t>ケン</t>
    </rPh>
    <phoneticPr fontId="3"/>
  </si>
  <si>
    <t>一般：高校生～大人（２日券）</t>
    <rPh sb="0" eb="2">
      <t>イッパン</t>
    </rPh>
    <rPh sb="3" eb="6">
      <t>コウコウセイ</t>
    </rPh>
    <rPh sb="7" eb="9">
      <t>オトナ</t>
    </rPh>
    <rPh sb="11" eb="12">
      <t>ニチ</t>
    </rPh>
    <rPh sb="12" eb="13">
      <t>ケン</t>
    </rPh>
    <phoneticPr fontId="3"/>
  </si>
  <si>
    <t>▼選択してください（６５才以上）▼</t>
    <rPh sb="1" eb="3">
      <t>センタク</t>
    </rPh>
    <rPh sb="12" eb="15">
      <t>サイイジョウ</t>
    </rPh>
    <phoneticPr fontId="3"/>
  </si>
  <si>
    <t>2泊：シルバー（65才以上）</t>
    <rPh sb="1" eb="2">
      <t>ハク</t>
    </rPh>
    <rPh sb="10" eb="11">
      <t>サイ</t>
    </rPh>
    <rPh sb="11" eb="13">
      <t>イジョウ</t>
    </rPh>
    <phoneticPr fontId="3"/>
  </si>
  <si>
    <t>現金のみ</t>
    <rPh sb="0" eb="2">
      <t>ゲンキン</t>
    </rPh>
    <phoneticPr fontId="3"/>
  </si>
  <si>
    <t>無料（４才未満）</t>
    <rPh sb="0" eb="2">
      <t>ムリョウ</t>
    </rPh>
    <rPh sb="4" eb="5">
      <t>サイ</t>
    </rPh>
    <rPh sb="5" eb="7">
      <t>ミマン</t>
    </rPh>
    <phoneticPr fontId="23"/>
  </si>
  <si>
    <t>４才～小学生未満</t>
    <rPh sb="1" eb="2">
      <t>サイ</t>
    </rPh>
    <rPh sb="3" eb="6">
      <t>ショウガクセイ</t>
    </rPh>
    <rPh sb="6" eb="8">
      <t>ミマン</t>
    </rPh>
    <phoneticPr fontId="23"/>
  </si>
  <si>
    <t>高校生</t>
    <rPh sb="0" eb="3">
      <t>コウコウセイ</t>
    </rPh>
    <phoneticPr fontId="23"/>
  </si>
  <si>
    <t>引率割引適用者
（高校生）</t>
    <rPh sb="0" eb="2">
      <t>インソツ</t>
    </rPh>
    <rPh sb="2" eb="4">
      <t>ワリビキ</t>
    </rPh>
    <rPh sb="4" eb="6">
      <t>テキヨウ</t>
    </rPh>
    <rPh sb="6" eb="7">
      <t>シャ</t>
    </rPh>
    <rPh sb="7" eb="8">
      <t>テキシャ</t>
    </rPh>
    <rPh sb="9" eb="11">
      <t>コウコウ</t>
    </rPh>
    <rPh sb="11" eb="12">
      <t>セイ</t>
    </rPh>
    <phoneticPr fontId="23"/>
  </si>
  <si>
    <t>無料</t>
    <rPh sb="0" eb="2">
      <t>ムリョウ</t>
    </rPh>
    <phoneticPr fontId="3"/>
  </si>
  <si>
    <t>無料</t>
    <phoneticPr fontId="3"/>
  </si>
  <si>
    <r>
      <t>　注意③：</t>
    </r>
    <r>
      <rPr>
        <b/>
        <u/>
        <sz val="11"/>
        <rFont val="HG丸ｺﾞｼｯｸM-PRO"/>
        <family val="3"/>
        <charset val="128"/>
      </rPr>
      <t>食数変更は入館日の前日正午まで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4" eb="16">
      <t>ゼンジツ</t>
    </rPh>
    <rPh sb="16" eb="18">
      <t>ショウゴ</t>
    </rPh>
    <rPh sb="25" eb="27">
      <t>ヘンコウ</t>
    </rPh>
    <rPh sb="28" eb="30">
      <t>ニュウカン</t>
    </rPh>
    <rPh sb="30" eb="31">
      <t>ビ</t>
    </rPh>
    <rPh sb="32" eb="34">
      <t>シュウカン</t>
    </rPh>
    <rPh sb="34" eb="35">
      <t>マエ</t>
    </rPh>
    <rPh sb="72" eb="74">
      <t>ホンショ</t>
    </rPh>
    <rPh sb="75" eb="78">
      <t>サイテイシュツ</t>
    </rPh>
    <phoneticPr fontId="3"/>
  </si>
  <si>
    <t>　　　　</t>
    <phoneticPr fontId="5"/>
  </si>
  <si>
    <t>　なお、具体的な記入内容は、各シート内の記入例をご確認ください。</t>
    <phoneticPr fontId="5"/>
  </si>
  <si>
    <t>ベースボールスクール山の家
滝野観光バス</t>
    <rPh sb="10" eb="11">
      <t>ヤマ</t>
    </rPh>
    <rPh sb="12" eb="13">
      <t>イエ</t>
    </rPh>
    <rPh sb="14" eb="16">
      <t>タキノ</t>
    </rPh>
    <rPh sb="16" eb="18">
      <t>カンコウ</t>
    </rPh>
    <phoneticPr fontId="8"/>
  </si>
  <si>
    <t>☆清算はご利用当日の、午後２時までとなっております。それまでに事務室におこしください。</t>
    <rPh sb="1" eb="3">
      <t>セイサン</t>
    </rPh>
    <rPh sb="5" eb="9">
      <t>リヨウトウジツ</t>
    </rPh>
    <rPh sb="11" eb="13">
      <t>ゴゴ</t>
    </rPh>
    <rPh sb="14" eb="15">
      <t>ジ</t>
    </rPh>
    <rPh sb="31" eb="34">
      <t>ジムシツ</t>
    </rPh>
    <phoneticPr fontId="3"/>
  </si>
  <si>
    <t>長嶋　茂男</t>
    <rPh sb="0" eb="2">
      <t>ナガシマ</t>
    </rPh>
    <rPh sb="3" eb="4">
      <t>シゲ</t>
    </rPh>
    <rPh sb="4" eb="5">
      <t>オトコ</t>
    </rPh>
    <phoneticPr fontId="8"/>
  </si>
  <si>
    <t>原　辰海苔</t>
    <rPh sb="0" eb="1">
      <t>ハラ</t>
    </rPh>
    <rPh sb="2" eb="3">
      <t>タツ</t>
    </rPh>
    <rPh sb="3" eb="5">
      <t>ノリ</t>
    </rPh>
    <phoneticPr fontId="8"/>
  </si>
  <si>
    <t>北別府　まなぶ</t>
    <rPh sb="0" eb="3">
      <t>キタベップ</t>
    </rPh>
    <phoneticPr fontId="8"/>
  </si>
  <si>
    <t>衣笠　祥夫</t>
    <rPh sb="0" eb="2">
      <t>キヌガサ</t>
    </rPh>
    <rPh sb="3" eb="5">
      <t>サチオ</t>
    </rPh>
    <phoneticPr fontId="8"/>
  </si>
  <si>
    <t>王　貞春</t>
    <rPh sb="0" eb="1">
      <t>オウ</t>
    </rPh>
    <rPh sb="2" eb="3">
      <t>サダ</t>
    </rPh>
    <rPh sb="3" eb="4">
      <t>ハル</t>
    </rPh>
    <phoneticPr fontId="8"/>
  </si>
  <si>
    <t>落合　博蜜</t>
    <rPh sb="0" eb="2">
      <t>オチアイ</t>
    </rPh>
    <rPh sb="3" eb="4">
      <t>ヒロシ</t>
    </rPh>
    <rPh sb="4" eb="5">
      <t>ミツ</t>
    </rPh>
    <phoneticPr fontId="8"/>
  </si>
  <si>
    <t>一郎</t>
    <rPh sb="0" eb="2">
      <t>イチロウ</t>
    </rPh>
    <phoneticPr fontId="8"/>
  </si>
  <si>
    <t>ランディ＝ジョンソン</t>
    <phoneticPr fontId="8"/>
  </si>
  <si>
    <t>【当日現金払い】</t>
    <rPh sb="1" eb="3">
      <t>トウジツ</t>
    </rPh>
    <rPh sb="5" eb="6">
      <t>バラ</t>
    </rPh>
    <phoneticPr fontId="23"/>
  </si>
  <si>
    <t>団体代表者　氏名</t>
    <rPh sb="0" eb="5">
      <t>ダンタイダイヒョウシャ</t>
    </rPh>
    <rPh sb="6" eb="8">
      <t>シメイ</t>
    </rPh>
    <rPh sb="7" eb="8">
      <t>メイ</t>
    </rPh>
    <phoneticPr fontId="23"/>
  </si>
  <si>
    <t>団体名</t>
    <rPh sb="0" eb="3">
      <t>ダンタイメイガッコウメイ</t>
    </rPh>
    <phoneticPr fontId="23"/>
  </si>
  <si>
    <t>代表者　氏名</t>
    <rPh sb="0" eb="3">
      <t>ダイヒョウシャ</t>
    </rPh>
    <rPh sb="4" eb="6">
      <t>シメイ</t>
    </rPh>
    <rPh sb="5" eb="6">
      <t>メイ</t>
    </rPh>
    <phoneticPr fontId="23"/>
  </si>
  <si>
    <t>野茂英雄</t>
    <rPh sb="0" eb="4">
      <t>ノモヒデオ</t>
    </rPh>
    <phoneticPr fontId="3"/>
  </si>
  <si>
    <t>　防災炊事</t>
  </si>
  <si>
    <t>　夕】通常食(小学生)</t>
  </si>
  <si>
    <t>　夕】通常食(中学生以上)</t>
  </si>
  <si>
    <t>　朝】通常食(小学生)</t>
  </si>
  <si>
    <t>　朝】通常食(中学生以上)</t>
  </si>
  <si>
    <t>ベースボールスクール山の家（児童）</t>
    <rPh sb="10" eb="11">
      <t>ヤマ</t>
    </rPh>
    <rPh sb="12" eb="13">
      <t>イエ</t>
    </rPh>
    <rPh sb="14" eb="16">
      <t>ジドウ</t>
    </rPh>
    <phoneticPr fontId="3"/>
  </si>
  <si>
    <t>　携帯弁当（鮭・梅）</t>
  </si>
  <si>
    <t>ベースボールスクール山の家（指導者）</t>
    <rPh sb="10" eb="11">
      <t>ヤマ</t>
    </rPh>
    <rPh sb="12" eb="13">
      <t>イエ</t>
    </rPh>
    <rPh sb="14" eb="17">
      <t>シドウシャ</t>
    </rPh>
    <phoneticPr fontId="3"/>
  </si>
  <si>
    <t>　携帯弁当（塩・塩）</t>
  </si>
  <si>
    <t>ベースボールスクール山の家（保護者）</t>
    <rPh sb="10" eb="11">
      <t>ヤマ</t>
    </rPh>
    <rPh sb="12" eb="13">
      <t>イエ</t>
    </rPh>
    <rPh sb="14" eb="17">
      <t>ホゴシャ</t>
    </rPh>
    <phoneticPr fontId="3"/>
  </si>
  <si>
    <t>　（PET500ml）
アクエリアス</t>
  </si>
  <si>
    <t>　（PET500ml）
健康ミネラル麦茶</t>
  </si>
  <si>
    <t>【当日現金払い】のみ</t>
    <rPh sb="1" eb="3">
      <t>トウジツ</t>
    </rPh>
    <rPh sb="5" eb="6">
      <t>バラ</t>
    </rPh>
    <phoneticPr fontId="23"/>
  </si>
  <si>
    <t>　　 メニュー
　　 　　内容
要対応
アレルゲン</t>
    <rPh sb="13" eb="15">
      <t>ナイヨウ</t>
    </rPh>
    <rPh sb="22" eb="23">
      <t>ヨウ</t>
    </rPh>
    <rPh sb="23" eb="25">
      <t>タイオウ</t>
    </rPh>
    <phoneticPr fontId="3"/>
  </si>
  <si>
    <t>札幌市青少年山の家　【 利用計画書 】</t>
    <rPh sb="12" eb="14">
      <t>リヨウ</t>
    </rPh>
    <rPh sb="14" eb="17">
      <t>ケイカクショ</t>
    </rPh>
    <phoneticPr fontId="3"/>
  </si>
  <si>
    <t>シャワー可能時間</t>
    <rPh sb="4" eb="6">
      <t>カノウ</t>
    </rPh>
    <rPh sb="6" eb="8">
      <t>ジカン</t>
    </rPh>
    <phoneticPr fontId="3"/>
  </si>
  <si>
    <t>シャワー＆入浴可能時間</t>
    <rPh sb="5" eb="7">
      <t>ニュウヨク</t>
    </rPh>
    <rPh sb="7" eb="9">
      <t>カノウ</t>
    </rPh>
    <rPh sb="9" eb="11">
      <t>ジカン</t>
    </rPh>
    <phoneticPr fontId="3"/>
  </si>
  <si>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3"/>
  </si>
  <si>
    <t>札幌市青少年山の家　【 利用計画書 】記入例</t>
    <rPh sb="12" eb="14">
      <t>リヨウ</t>
    </rPh>
    <rPh sb="14" eb="17">
      <t>ケイカクショ</t>
    </rPh>
    <rPh sb="19" eb="22">
      <t>キニュウレイ</t>
    </rPh>
    <phoneticPr fontId="3"/>
  </si>
  <si>
    <t>火</t>
    <rPh sb="0" eb="1">
      <t>カ</t>
    </rPh>
    <phoneticPr fontId="3"/>
  </si>
  <si>
    <t>出会いの集い</t>
    <rPh sb="0" eb="2">
      <t>デア</t>
    </rPh>
    <rPh sb="4" eb="5">
      <t>ツド</t>
    </rPh>
    <phoneticPr fontId="3"/>
  </si>
  <si>
    <t>野球練習
多目的ホール
※ボール使用</t>
    <rPh sb="0" eb="4">
      <t>ヤキュウレンシュウ</t>
    </rPh>
    <rPh sb="5" eb="8">
      <t>タモクテキ</t>
    </rPh>
    <rPh sb="16" eb="18">
      <t>シヨウ</t>
    </rPh>
    <phoneticPr fontId="3"/>
  </si>
  <si>
    <t>休憩</t>
    <rPh sb="0" eb="2">
      <t>キュウケイ</t>
    </rPh>
    <phoneticPr fontId="3"/>
  </si>
  <si>
    <t>防災炊事
（くわのみ広場）</t>
    <rPh sb="0" eb="4">
      <t>ボウサイスイジ</t>
    </rPh>
    <rPh sb="10" eb="12">
      <t>ヒロバ</t>
    </rPh>
    <phoneticPr fontId="3"/>
  </si>
  <si>
    <t>キャンプファイヤー</t>
    <phoneticPr fontId="3"/>
  </si>
  <si>
    <t>入浴</t>
    <rPh sb="0" eb="2">
      <t>ニュウヨク</t>
    </rPh>
    <phoneticPr fontId="3"/>
  </si>
  <si>
    <t>消灯・就寝</t>
    <rPh sb="0" eb="2">
      <t>ショウトウ</t>
    </rPh>
    <rPh sb="3" eb="5">
      <t>シュウシン</t>
    </rPh>
    <phoneticPr fontId="3"/>
  </si>
  <si>
    <t>起床・荷物整理</t>
    <rPh sb="0" eb="2">
      <t>キショウ</t>
    </rPh>
    <rPh sb="3" eb="5">
      <t>ニモツ</t>
    </rPh>
    <rPh sb="5" eb="7">
      <t>セイリ</t>
    </rPh>
    <phoneticPr fontId="3"/>
  </si>
  <si>
    <t>朝食</t>
    <rPh sb="0" eb="2">
      <t>チョウショク</t>
    </rPh>
    <phoneticPr fontId="3"/>
  </si>
  <si>
    <t>清掃
自主チェック</t>
    <rPh sb="0" eb="2">
      <t>セイソウ</t>
    </rPh>
    <rPh sb="3" eb="5">
      <t>ジシュ</t>
    </rPh>
    <phoneticPr fontId="3"/>
  </si>
  <si>
    <t>別れの集い</t>
    <rPh sb="0" eb="1">
      <t>ワカ</t>
    </rPh>
    <rPh sb="3" eb="4">
      <t>ツド</t>
    </rPh>
    <phoneticPr fontId="3"/>
  </si>
  <si>
    <t>　　　午前10：00
　　　　～午前9：30</t>
    <rPh sb="3" eb="5">
      <t>ゴゼン</t>
    </rPh>
    <rPh sb="16" eb="18">
      <t>ゴゼン</t>
    </rPh>
    <phoneticPr fontId="3"/>
  </si>
  <si>
    <t>午前10：00
　　　～午後5：00</t>
    <rPh sb="0" eb="2">
      <t>ゴゼン</t>
    </rPh>
    <rPh sb="12" eb="14">
      <t>ゴゴ</t>
    </rPh>
    <phoneticPr fontId="3"/>
  </si>
  <si>
    <t>（PET500ｍｌ）
アクエリアス</t>
  </si>
  <si>
    <t>１食減らします</t>
    <rPh sb="1" eb="2">
      <t>ショク</t>
    </rPh>
    <rPh sb="2" eb="3">
      <t>ゲン</t>
    </rPh>
    <phoneticPr fontId="30"/>
  </si>
  <si>
    <t>１食増やします</t>
    <rPh sb="1" eb="2">
      <t>ショク</t>
    </rPh>
    <rPh sb="2" eb="3">
      <t>ゾウ</t>
    </rPh>
    <phoneticPr fontId="30"/>
  </si>
  <si>
    <t>準</t>
    <rPh sb="0" eb="1">
      <t>ジュン</t>
    </rPh>
    <phoneticPr fontId="3"/>
  </si>
  <si>
    <t>特</t>
    <rPh sb="0" eb="1">
      <t>トク</t>
    </rPh>
    <phoneticPr fontId="3"/>
  </si>
  <si>
    <t>札</t>
    <rPh sb="0" eb="1">
      <t>サツ</t>
    </rPh>
    <phoneticPr fontId="3"/>
  </si>
  <si>
    <t>準要保護の児童
※要保護は対象外</t>
    <rPh sb="0" eb="1">
      <t>ジュン</t>
    </rPh>
    <rPh sb="1" eb="4">
      <t>ヨウホゴ</t>
    </rPh>
    <rPh sb="5" eb="7">
      <t>ジドウ</t>
    </rPh>
    <rPh sb="9" eb="12">
      <t>ヨウホゴ</t>
    </rPh>
    <rPh sb="13" eb="16">
      <t>タイショウガイ</t>
    </rPh>
    <phoneticPr fontId="3"/>
  </si>
  <si>
    <t>特別支援学校
学級の在籍児童</t>
    <rPh sb="0" eb="4">
      <t>トクベツシエン</t>
    </rPh>
    <rPh sb="4" eb="6">
      <t>ガッコウ</t>
    </rPh>
    <rPh sb="7" eb="9">
      <t>ガッキュウ</t>
    </rPh>
    <rPh sb="10" eb="12">
      <t>ザイセキ</t>
    </rPh>
    <rPh sb="12" eb="14">
      <t>ジドウ</t>
    </rPh>
    <phoneticPr fontId="3"/>
  </si>
  <si>
    <t>札幌市・同教委での使用</t>
    <rPh sb="0" eb="3">
      <t>サッポロシ</t>
    </rPh>
    <rPh sb="4" eb="7">
      <t>ドウキョウイ</t>
    </rPh>
    <rPh sb="9" eb="11">
      <t>シヨウ</t>
    </rPh>
    <phoneticPr fontId="3"/>
  </si>
  <si>
    <t>【準】-1号　　準要保護の利用者　※要保護は対象外</t>
    <rPh sb="1" eb="2">
      <t>ジュン</t>
    </rPh>
    <rPh sb="5" eb="6">
      <t>ゴウ</t>
    </rPh>
    <rPh sb="13" eb="16">
      <t>リヨウシャ</t>
    </rPh>
    <phoneticPr fontId="3"/>
  </si>
  <si>
    <t>【身】-3号　　身体障害者手帳所持の利用者</t>
    <rPh sb="1" eb="2">
      <t>ミ</t>
    </rPh>
    <rPh sb="5" eb="6">
      <t>ゴウ</t>
    </rPh>
    <rPh sb="18" eb="21">
      <t>リヨウシャ</t>
    </rPh>
    <phoneticPr fontId="3"/>
  </si>
  <si>
    <t>【療】-4号　　療育手帳所持の利用者</t>
    <rPh sb="1" eb="2">
      <t>リョウ</t>
    </rPh>
    <rPh sb="5" eb="6">
      <t>ゴウ</t>
    </rPh>
    <rPh sb="15" eb="18">
      <t>リヨウシャ</t>
    </rPh>
    <phoneticPr fontId="3"/>
  </si>
  <si>
    <t>【精】-5号　　精神障害者福祉手帳所持の利用者</t>
    <rPh sb="1" eb="2">
      <t>セイ</t>
    </rPh>
    <rPh sb="5" eb="6">
      <t>ゴウ</t>
    </rPh>
    <rPh sb="20" eb="23">
      <t>リヨウシャ</t>
    </rPh>
    <phoneticPr fontId="3"/>
  </si>
  <si>
    <t>【児】-６号　　児童福祉法に規定する児童福祉施設所属の利用者</t>
    <rPh sb="1" eb="2">
      <t>コ</t>
    </rPh>
    <rPh sb="5" eb="6">
      <t>ゴウ</t>
    </rPh>
    <rPh sb="24" eb="26">
      <t>ショゾク</t>
    </rPh>
    <rPh sb="27" eb="30">
      <t>リヨウシャ</t>
    </rPh>
    <phoneticPr fontId="3"/>
  </si>
  <si>
    <t>【介添】-7号　各種手帳所持者を引率する介護・介添引率者</t>
    <rPh sb="1" eb="3">
      <t>カイゾ</t>
    </rPh>
    <rPh sb="6" eb="7">
      <t>ゴウ</t>
    </rPh>
    <phoneticPr fontId="3"/>
  </si>
  <si>
    <t>【札】-８号　札幌市・同教委での使用</t>
    <rPh sb="1" eb="2">
      <t>サツ</t>
    </rPh>
    <rPh sb="5" eb="6">
      <t>ゴウ</t>
    </rPh>
    <phoneticPr fontId="3"/>
  </si>
  <si>
    <t>号の規定に</t>
    <phoneticPr fontId="3"/>
  </si>
  <si>
    <t>身</t>
    <rPh sb="0" eb="1">
      <t>ミ</t>
    </rPh>
    <phoneticPr fontId="3"/>
  </si>
  <si>
    <t>介添</t>
    <rPh sb="0" eb="2">
      <t>カイゾエ</t>
    </rPh>
    <phoneticPr fontId="3"/>
  </si>
  <si>
    <t>　札幌市青少年山の家</t>
    <phoneticPr fontId="3"/>
  </si>
  <si>
    <t>　　　現金支払い</t>
    <rPh sb="3" eb="5">
      <t>ゲンキン</t>
    </rPh>
    <rPh sb="5" eb="7">
      <t>シハラ</t>
    </rPh>
    <phoneticPr fontId="3"/>
  </si>
  <si>
    <t>　　後納支払い</t>
    <rPh sb="2" eb="4">
      <t>コウノウ</t>
    </rPh>
    <rPh sb="4" eb="6">
      <t>シハラ</t>
    </rPh>
    <phoneticPr fontId="3"/>
  </si>
  <si>
    <t>トーマス＝オマリー</t>
    <phoneticPr fontId="8"/>
  </si>
  <si>
    <t>タフィ＝ローズ</t>
    <phoneticPr fontId="8"/>
  </si>
  <si>
    <t>ランディ＝バース</t>
    <phoneticPr fontId="8"/>
  </si>
  <si>
    <t>ウォーレン＝クロマティ</t>
    <phoneticPr fontId="8"/>
  </si>
  <si>
    <t>団体</t>
    <rPh sb="0" eb="2">
      <t>ダンタイ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</si>
</sst>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00"/>
    <numFmt numFmtId="185" formatCode="0;\-0;0"/>
    <numFmt numFmtId="186" formatCode="000000#"/>
    <numFmt numFmtId="187" formatCode="[&lt;=999]000;[&lt;=9999]000\-00;000\-0000"/>
    <numFmt numFmtId="188" formatCode="[&lt;=99999999]####\-####;\(00\)\ ####\-####"/>
    <numFmt numFmtId="189" formatCode="#;\0;0"/>
    <numFmt numFmtId="190" formatCode="#;\0;00"/>
  </numFmts>
  <fonts count="183">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b/>
      <sz val="12"/>
      <name val="HG丸ｺﾞｼｯｸM-PRO"/>
      <family val="3"/>
      <charset val="128"/>
    </font>
    <font>
      <sz val="18"/>
      <name val="ＭＳ Ｐ明朝"/>
      <family val="1"/>
      <charset val="128"/>
    </font>
    <font>
      <sz val="11"/>
      <name val="HG丸ｺﾞｼｯｸM-PRO"/>
      <family val="3"/>
      <charset val="128"/>
    </font>
    <font>
      <sz val="20"/>
      <name val="ＭＳ 明朝"/>
      <family val="1"/>
      <charset val="128"/>
    </font>
    <font>
      <sz val="6"/>
      <name val="ＭＳ Ｐゴシック"/>
      <family val="3"/>
      <charset val="128"/>
    </font>
    <font>
      <sz val="6"/>
      <name val="ＭＳ Ｐゴシック"/>
      <family val="3"/>
      <charset val="128"/>
    </font>
    <font>
      <sz val="12"/>
      <color indexed="8"/>
      <name val="ＭＳ Ｐ明朝"/>
      <family val="1"/>
      <charset val="128"/>
    </font>
    <font>
      <sz val="9"/>
      <color indexed="81"/>
      <name val="MS P ゴシック"/>
      <family val="3"/>
      <charset val="128"/>
    </font>
    <font>
      <sz val="9"/>
      <color indexed="81"/>
      <name val="ＭＳ Ｐゴシック"/>
      <family val="3"/>
      <charset val="128"/>
    </font>
    <font>
      <sz val="6"/>
      <name val="HG丸ｺﾞｼｯｸM-PRO"/>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2"/>
      <color rgb="FFFF0000"/>
      <name val="HG丸ｺﾞｼｯｸM-PRO"/>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9"/>
      <color theme="1"/>
      <name val="ＭＳ 明朝"/>
      <family val="1"/>
      <charset val="128"/>
    </font>
    <font>
      <sz val="6"/>
      <color theme="1"/>
      <name val="ＭＳ 明朝"/>
      <family val="1"/>
      <charset val="128"/>
    </font>
    <font>
      <sz val="18"/>
      <color theme="1"/>
      <name val="ＭＳ Ｐゴシック"/>
      <family val="3"/>
      <charset val="128"/>
      <scheme val="minor"/>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i/>
      <sz val="11"/>
      <color theme="0" tint="-0.34998626667073579"/>
      <name val="ＭＳ Ｐゴシック"/>
      <family val="3"/>
      <charset val="128"/>
      <scheme val="minor"/>
    </font>
    <font>
      <sz val="14"/>
      <color theme="0" tint="-0.34998626667073579"/>
      <name val="ＭＳ Ｐゴシック"/>
      <family val="3"/>
      <charset val="128"/>
      <scheme val="minor"/>
    </font>
    <font>
      <b/>
      <sz val="11"/>
      <color theme="0" tint="-0.34998626667073579"/>
      <name val="ＭＳ Ｐゴシック"/>
      <family val="3"/>
      <charset val="128"/>
      <scheme val="minor"/>
    </font>
    <font>
      <b/>
      <sz val="10"/>
      <color theme="0" tint="-0.34998626667073579"/>
      <name val="ＭＳ Ｐゴシック"/>
      <family val="3"/>
      <charset val="128"/>
      <scheme val="minor"/>
    </font>
    <font>
      <sz val="6"/>
      <color theme="0" tint="-0.34998626667073579"/>
      <name val="ＭＳ Ｐゴシック"/>
      <family val="3"/>
      <charset val="128"/>
    </font>
    <font>
      <sz val="12"/>
      <name val="ＭＳ Ｐゴシック"/>
      <family val="3"/>
      <charset val="128"/>
      <scheme val="major"/>
    </font>
    <font>
      <sz val="20"/>
      <color theme="0"/>
      <name val="ＭＳ Ｐゴシック"/>
      <family val="3"/>
      <charset val="128"/>
      <scheme val="minor"/>
    </font>
    <font>
      <sz val="18"/>
      <color theme="1"/>
      <name val="ＭＳ 明朝"/>
      <family val="1"/>
      <charset val="128"/>
    </font>
    <font>
      <sz val="20"/>
      <color theme="1"/>
      <name val="ＭＳ 明朝"/>
      <family val="1"/>
      <charset val="128"/>
    </font>
    <font>
      <b/>
      <sz val="11"/>
      <color theme="1"/>
      <name val="ＭＳ Ｐゴシック"/>
      <family val="3"/>
      <charset val="128"/>
    </font>
    <font>
      <sz val="8"/>
      <color theme="0" tint="-0.34998626667073579"/>
      <name val="ＭＳ Ｐゴシック"/>
      <family val="3"/>
      <charset val="128"/>
    </font>
    <font>
      <b/>
      <sz val="18"/>
      <color theme="1"/>
      <name val="ＭＳ 明朝"/>
      <family val="1"/>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b/>
      <sz val="9"/>
      <name val="ＭＳ Ｐゴシック"/>
      <family val="3"/>
      <charset val="128"/>
      <scheme val="minor"/>
    </font>
    <font>
      <sz val="9"/>
      <color theme="0"/>
      <name val="ＭＳ Ｐ明朝"/>
      <family val="1"/>
      <charset val="128"/>
    </font>
    <font>
      <sz val="9"/>
      <color rgb="FF000000"/>
      <name val="MS UI Gothic"/>
      <family val="3"/>
      <charset val="128"/>
    </font>
    <font>
      <sz val="12"/>
      <color theme="1"/>
      <name val="ＭＳ Ｐゴシック"/>
      <family val="2"/>
      <charset val="128"/>
      <scheme val="minor"/>
    </font>
    <font>
      <sz val="6"/>
      <name val="ＭＳ Ｐゴシック"/>
      <family val="2"/>
      <charset val="128"/>
      <scheme val="minor"/>
    </font>
    <font>
      <sz val="10"/>
      <color rgb="FF336699"/>
      <name val="メイリオ"/>
      <family val="3"/>
      <charset val="128"/>
    </font>
    <font>
      <sz val="11"/>
      <color rgb="FF333333"/>
      <name val="ＭＳ Ｐゴシック"/>
      <family val="3"/>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sz val="11"/>
      <color theme="1"/>
      <name val="HG丸ｺﾞｼｯｸM-PRO"/>
      <family val="3"/>
      <charset val="128"/>
    </font>
    <font>
      <b/>
      <u/>
      <sz val="11"/>
      <name val="HG丸ｺﾞｼｯｸM-PRO"/>
      <family val="3"/>
      <charset val="128"/>
    </font>
    <font>
      <b/>
      <u/>
      <sz val="11"/>
      <color theme="1"/>
      <name val="HG丸ｺﾞｼｯｸM-PRO"/>
      <family val="3"/>
      <charset val="128"/>
    </font>
    <font>
      <sz val="11"/>
      <color indexed="8"/>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sz val="11"/>
      <color theme="0"/>
      <name val="HG丸ｺﾞｼｯｸM-PRO"/>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b/>
      <u/>
      <sz val="11"/>
      <color indexed="8"/>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9"/>
      <color theme="0"/>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b/>
      <sz val="12"/>
      <name val="BIZ UDPゴシック"/>
      <family val="3"/>
      <charset val="128"/>
    </font>
    <font>
      <sz val="12"/>
      <color theme="1"/>
      <name val="Segoe UI Symbol"/>
      <family val="3"/>
    </font>
    <font>
      <b/>
      <sz val="20"/>
      <color theme="1"/>
      <name val="BIZ UDPゴシック"/>
      <family val="3"/>
      <charset val="128"/>
    </font>
    <font>
      <sz val="11"/>
      <color theme="0"/>
      <name val="ＭＳ Ｐゴシック"/>
      <family val="3"/>
      <charset val="128"/>
    </font>
    <font>
      <b/>
      <u/>
      <sz val="16"/>
      <color theme="0"/>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rgb="FFFFFF00"/>
      <name val="ＭＳ Ｐゴシック"/>
      <family val="3"/>
      <charset val="128"/>
      <scheme val="minor"/>
    </font>
    <font>
      <sz val="11"/>
      <color theme="0" tint="-0.34998626667073579"/>
      <name val="ＭＳ Ｐゴシック"/>
      <family val="2"/>
      <charset val="128"/>
      <scheme val="minor"/>
    </font>
    <font>
      <sz val="11"/>
      <color theme="0" tint="-0.34998626667073579"/>
      <name val="ＭＳ ゴシック"/>
      <family val="3"/>
      <charset val="128"/>
    </font>
    <font>
      <sz val="11"/>
      <color theme="0" tint="-0.34998626667073579"/>
      <name val="ＭＳ 明朝"/>
      <family val="1"/>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10.5"/>
      <name val="BIZ UDPゴシック"/>
      <family val="3"/>
      <charset val="128"/>
    </font>
    <font>
      <sz val="7"/>
      <name val="BIZ UDPゴシック"/>
      <family val="3"/>
      <charset val="128"/>
    </font>
    <font>
      <sz val="7"/>
      <color theme="1"/>
      <name val="BIZ UDPゴシック"/>
      <family val="3"/>
      <charset val="128"/>
    </font>
    <font>
      <b/>
      <sz val="10"/>
      <color theme="1"/>
      <name val="ＭＳ Ｐゴシック"/>
      <family val="3"/>
      <charset val="128"/>
      <scheme val="minor"/>
    </font>
    <font>
      <b/>
      <sz val="9"/>
      <color indexed="81"/>
      <name val="BIZ UDPゴシック"/>
      <family val="3"/>
      <charset val="128"/>
    </font>
    <font>
      <b/>
      <sz val="16"/>
      <color rgb="FFFF0000"/>
      <name val="BIZ UDPゴシック"/>
      <family val="3"/>
      <charset val="128"/>
    </font>
    <font>
      <sz val="18"/>
      <color theme="0"/>
      <name val="ＭＳ Ｐ明朝"/>
      <family val="1"/>
      <charset val="128"/>
    </font>
  </fonts>
  <fills count="22">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rgb="FF7030A0"/>
        <bgColor indexed="64"/>
      </patternFill>
    </fill>
    <fill>
      <patternFill patternType="solid">
        <fgColor theme="9" tint="0.59999389629810485"/>
        <bgColor indexed="64"/>
      </patternFill>
    </fill>
    <fill>
      <patternFill patternType="solid">
        <fgColor rgb="FF66FF99"/>
        <bgColor indexed="64"/>
      </patternFill>
    </fill>
  </fills>
  <borders count="329">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diagonalDown="1">
      <left/>
      <right/>
      <top/>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n">
        <color indexed="64"/>
      </left>
      <right/>
      <top style="dotted">
        <color indexed="64"/>
      </top>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tted">
        <color indexed="64"/>
      </top>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ck">
        <color indexed="64"/>
      </left>
      <right style="thick">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thin">
        <color indexed="64"/>
      </left>
      <right style="medium">
        <color indexed="64"/>
      </right>
      <top/>
      <bottom style="thin">
        <color indexed="64"/>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style="medium">
        <color indexed="64"/>
      </left>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right style="thin">
        <color indexed="64"/>
      </right>
      <top/>
      <bottom style="thick">
        <color indexed="64"/>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left/>
      <right style="medium">
        <color indexed="64"/>
      </right>
      <top style="thin">
        <color indexed="64"/>
      </top>
      <bottom/>
      <diagonal/>
    </border>
    <border>
      <left style="hair">
        <color indexed="64"/>
      </left>
      <right/>
      <top/>
      <bottom style="thin">
        <color indexed="64"/>
      </bottom>
      <diagonal/>
    </border>
    <border>
      <left style="medium">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ashed">
        <color indexed="64"/>
      </top>
      <bottom style="dashed">
        <color indexed="64"/>
      </bottom>
      <diagonal/>
    </border>
    <border>
      <left style="thin">
        <color indexed="64"/>
      </left>
      <right style="thick">
        <color indexed="64"/>
      </right>
      <top style="dotted">
        <color indexed="64"/>
      </top>
      <bottom style="thin">
        <color indexed="64"/>
      </bottom>
      <diagonal/>
    </border>
    <border>
      <left style="thin">
        <color indexed="64"/>
      </left>
      <right style="thick">
        <color indexed="64"/>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bottom/>
      <diagonal/>
    </border>
    <border>
      <left style="thick">
        <color indexed="64"/>
      </left>
      <right/>
      <top style="dashed">
        <color indexed="64"/>
      </top>
      <bottom style="thin">
        <color indexed="64"/>
      </bottom>
      <diagonal/>
    </border>
    <border>
      <left style="thin">
        <color indexed="64"/>
      </left>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dashed">
        <color indexed="64"/>
      </top>
      <bottom style="thick">
        <color indexed="64"/>
      </bottom>
      <diagonal/>
    </border>
    <border>
      <left style="thick">
        <color indexed="64"/>
      </left>
      <right/>
      <top style="dashed">
        <color indexed="64"/>
      </top>
      <bottom style="thick">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dotted">
        <color indexed="64"/>
      </top>
      <bottom style="double">
        <color indexed="64"/>
      </bottom>
      <diagonal/>
    </border>
    <border>
      <left style="medium">
        <color indexed="64"/>
      </left>
      <right style="thin">
        <color indexed="64"/>
      </right>
      <top style="dashed">
        <color indexed="64"/>
      </top>
      <bottom/>
      <diagonal/>
    </border>
    <border>
      <left style="thick">
        <color indexed="64"/>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6">
    <xf numFmtId="0" fontId="0" fillId="0" borderId="0">
      <alignment vertical="center"/>
    </xf>
    <xf numFmtId="38" fontId="3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36"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93" fillId="0" borderId="0" applyNumberFormat="0" applyFill="0" applyBorder="0" applyAlignment="0" applyProtection="0">
      <alignment vertical="center"/>
    </xf>
    <xf numFmtId="6" fontId="36"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2753">
    <xf numFmtId="0" fontId="0" fillId="0" borderId="0" xfId="0">
      <alignment vertical="center"/>
    </xf>
    <xf numFmtId="0" fontId="0" fillId="0" borderId="0" xfId="0">
      <alignment vertical="center"/>
    </xf>
    <xf numFmtId="0" fontId="0" fillId="0" borderId="0" xfId="0" applyFont="1" applyBorder="1">
      <alignment vertical="center"/>
    </xf>
    <xf numFmtId="0" fontId="0" fillId="0" borderId="0" xfId="0" applyFont="1">
      <alignment vertical="center"/>
    </xf>
    <xf numFmtId="0" fontId="41" fillId="0" borderId="0" xfId="0" applyFont="1" applyBorder="1" applyAlignment="1">
      <alignment vertical="center" wrapText="1"/>
    </xf>
    <xf numFmtId="0" fontId="48" fillId="0" borderId="0" xfId="0" applyFont="1">
      <alignment vertical="center"/>
    </xf>
    <xf numFmtId="0" fontId="0" fillId="0" borderId="0" xfId="0" applyFont="1" applyFill="1">
      <alignment vertical="center"/>
    </xf>
    <xf numFmtId="0" fontId="20" fillId="0" borderId="0" xfId="0" applyFont="1" applyFill="1" applyBorder="1" applyAlignment="1" applyProtection="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38" fillId="0" borderId="0" xfId="0" applyFont="1" applyBorder="1" applyAlignment="1">
      <alignment vertical="center"/>
    </xf>
    <xf numFmtId="0" fontId="0" fillId="0" borderId="0" xfId="0" applyFont="1" applyProtection="1">
      <alignment vertical="center"/>
    </xf>
    <xf numFmtId="0" fontId="0" fillId="0" borderId="21" xfId="0" applyFont="1" applyBorder="1">
      <alignment vertical="center"/>
    </xf>
    <xf numFmtId="0" fontId="47" fillId="0" borderId="0" xfId="0" applyFont="1" applyFill="1" applyAlignment="1">
      <alignment vertical="top" wrapText="1"/>
    </xf>
    <xf numFmtId="0" fontId="51" fillId="0" borderId="0" xfId="0" applyFont="1" applyFill="1" applyAlignment="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26" fillId="0" borderId="0" xfId="0" applyFont="1" applyFill="1" applyAlignment="1" applyProtection="1">
      <alignment horizontal="left" vertical="center"/>
    </xf>
    <xf numFmtId="0" fontId="20" fillId="0" borderId="21" xfId="0" applyFont="1" applyFill="1" applyBorder="1" applyAlignment="1" applyProtection="1">
      <alignment horizontal="center" vertical="center"/>
    </xf>
    <xf numFmtId="0" fontId="52" fillId="0" borderId="21" xfId="0" applyFont="1" applyFill="1" applyBorder="1" applyAlignment="1" applyProtection="1">
      <alignment horizontal="center" vertical="center"/>
    </xf>
    <xf numFmtId="0" fontId="20" fillId="0" borderId="21" xfId="0" applyFont="1" applyFill="1" applyBorder="1" applyAlignment="1" applyProtection="1">
      <alignment horizontal="left" vertical="center"/>
    </xf>
    <xf numFmtId="0" fontId="21" fillId="0" borderId="0" xfId="0" applyFont="1" applyFill="1" applyAlignment="1" applyProtection="1"/>
    <xf numFmtId="0" fontId="26" fillId="0" borderId="0" xfId="0" applyFont="1" applyFill="1" applyAlignment="1" applyProtection="1">
      <alignment horizontal="center" vertical="center"/>
    </xf>
    <xf numFmtId="0" fontId="20" fillId="0" borderId="21"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26" fillId="0" borderId="0" xfId="0" applyFont="1" applyFill="1" applyAlignment="1" applyProtection="1">
      <alignment vertical="center"/>
    </xf>
    <xf numFmtId="0" fontId="26" fillId="3" borderId="21" xfId="0" applyFont="1" applyFill="1" applyBorder="1" applyAlignment="1" applyProtection="1">
      <alignment vertical="center"/>
    </xf>
    <xf numFmtId="0" fontId="20" fillId="3" borderId="21"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45" fillId="0" borderId="0" xfId="0" applyFont="1" applyFill="1" applyAlignment="1" applyProtection="1"/>
    <xf numFmtId="0" fontId="43" fillId="0" borderId="0" xfId="0" applyFont="1" applyFill="1" applyAlignment="1" applyProtection="1"/>
    <xf numFmtId="0" fontId="43" fillId="0" borderId="0" xfId="0" applyFont="1" applyFill="1" applyBorder="1" applyAlignment="1" applyProtection="1"/>
    <xf numFmtId="0" fontId="20" fillId="0" borderId="0" xfId="0" applyFont="1" applyFill="1" applyBorder="1" applyAlignment="1" applyProtection="1">
      <alignment horizontal="left" vertical="center" wrapText="1"/>
    </xf>
    <xf numFmtId="0" fontId="43" fillId="0" borderId="13" xfId="0" applyFont="1" applyFill="1" applyBorder="1" applyAlignment="1" applyProtection="1"/>
    <xf numFmtId="0" fontId="24" fillId="0" borderId="0" xfId="0" applyFont="1" applyFill="1" applyBorder="1" applyAlignment="1" applyProtection="1">
      <alignment vertical="center"/>
    </xf>
    <xf numFmtId="3" fontId="20" fillId="0" borderId="0" xfId="0" applyNumberFormat="1" applyFont="1" applyFill="1" applyBorder="1" applyAlignment="1" applyProtection="1">
      <alignment horizontal="center" vertical="center"/>
    </xf>
    <xf numFmtId="49" fontId="56" fillId="0" borderId="0" xfId="0" applyNumberFormat="1" applyFont="1" applyBorder="1" applyAlignment="1">
      <alignment horizontal="center" vertical="center"/>
    </xf>
    <xf numFmtId="0" fontId="40" fillId="0" borderId="0" xfId="0" applyFont="1" applyBorder="1">
      <alignment vertical="center"/>
    </xf>
    <xf numFmtId="49" fontId="40" fillId="0" borderId="0" xfId="0" applyNumberFormat="1" applyFont="1">
      <alignment vertical="center"/>
    </xf>
    <xf numFmtId="0" fontId="40" fillId="0" borderId="0" xfId="0" applyFont="1">
      <alignment vertical="center"/>
    </xf>
    <xf numFmtId="0" fontId="42" fillId="0" borderId="0" xfId="0" applyFont="1">
      <alignment vertical="center"/>
    </xf>
    <xf numFmtId="49" fontId="40" fillId="0" borderId="0" xfId="0" applyNumberFormat="1" applyFont="1" applyAlignment="1">
      <alignment vertical="center"/>
    </xf>
    <xf numFmtId="0" fontId="40" fillId="0" borderId="0" xfId="0" applyFont="1" applyAlignment="1">
      <alignment vertical="center"/>
    </xf>
    <xf numFmtId="49" fontId="40" fillId="0" borderId="0" xfId="0" applyNumberFormat="1" applyFont="1" applyBorder="1">
      <alignment vertical="center"/>
    </xf>
    <xf numFmtId="0" fontId="42" fillId="0" borderId="0" xfId="0" applyFont="1" applyBorder="1">
      <alignment vertical="center"/>
    </xf>
    <xf numFmtId="0" fontId="36" fillId="0" borderId="0" xfId="8">
      <alignment vertical="center"/>
    </xf>
    <xf numFmtId="0" fontId="57" fillId="0" borderId="0" xfId="8" applyFont="1" applyBorder="1" applyAlignment="1">
      <alignment horizontal="center" vertical="center"/>
    </xf>
    <xf numFmtId="0" fontId="58" fillId="0" borderId="0" xfId="8" applyFont="1" applyBorder="1" applyAlignment="1">
      <alignment horizontal="center" vertical="center" shrinkToFit="1"/>
    </xf>
    <xf numFmtId="0" fontId="59" fillId="0" borderId="0" xfId="8" applyFont="1">
      <alignment vertical="center"/>
    </xf>
    <xf numFmtId="0" fontId="0" fillId="0" borderId="0" xfId="0">
      <alignment vertical="center"/>
    </xf>
    <xf numFmtId="0" fontId="0" fillId="0" borderId="0" xfId="0" applyFont="1">
      <alignment vertical="center"/>
    </xf>
    <xf numFmtId="0" fontId="0" fillId="0" borderId="0" xfId="0">
      <alignment vertical="center"/>
    </xf>
    <xf numFmtId="0" fontId="0" fillId="0" borderId="0" xfId="0" applyBorder="1">
      <alignment vertical="center"/>
    </xf>
    <xf numFmtId="0" fontId="49" fillId="0" borderId="0" xfId="0" applyFont="1" applyBorder="1">
      <alignment vertical="center"/>
    </xf>
    <xf numFmtId="0" fontId="38" fillId="0" borderId="0" xfId="0" applyFont="1" applyBorder="1" applyAlignment="1">
      <alignment vertical="center" shrinkToFit="1"/>
    </xf>
    <xf numFmtId="0" fontId="0" fillId="0" borderId="21" xfId="0" applyNumberFormat="1" applyFont="1" applyFill="1" applyBorder="1" applyAlignment="1" applyProtection="1">
      <alignment vertical="center"/>
      <protection hidden="1"/>
    </xf>
    <xf numFmtId="0" fontId="36" fillId="0" borderId="0" xfId="8" applyFont="1">
      <alignment vertical="center"/>
    </xf>
    <xf numFmtId="0" fontId="61" fillId="0" borderId="0" xfId="0" applyFont="1" applyProtection="1">
      <alignment vertical="center"/>
      <protection hidden="1"/>
    </xf>
    <xf numFmtId="0" fontId="62" fillId="0" borderId="0" xfId="0" applyFont="1" applyFill="1" applyProtection="1">
      <alignment vertical="center"/>
      <protection hidden="1"/>
    </xf>
    <xf numFmtId="0" fontId="62" fillId="0" borderId="0" xfId="0" applyFont="1" applyFill="1" applyAlignment="1" applyProtection="1">
      <alignment vertical="center" shrinkToFit="1"/>
      <protection hidden="1"/>
    </xf>
    <xf numFmtId="38" fontId="63" fillId="0" borderId="0" xfId="3" applyFont="1" applyFill="1" applyBorder="1" applyAlignment="1" applyProtection="1">
      <alignment horizontal="left" shrinkToFit="1"/>
      <protection hidden="1"/>
    </xf>
    <xf numFmtId="0" fontId="64" fillId="0" borderId="0" xfId="0" applyFont="1" applyFill="1" applyProtection="1">
      <alignment vertical="center"/>
      <protection hidden="1"/>
    </xf>
    <xf numFmtId="0" fontId="0" fillId="0" borderId="0" xfId="0" applyFont="1">
      <alignment vertical="center"/>
    </xf>
    <xf numFmtId="0" fontId="65" fillId="0" borderId="0" xfId="0" applyFont="1" applyBorder="1" applyAlignment="1" applyProtection="1">
      <alignment vertical="center"/>
      <protection hidden="1"/>
    </xf>
    <xf numFmtId="0" fontId="11" fillId="0" borderId="0" xfId="0" applyFont="1" applyBorder="1" applyAlignment="1" applyProtection="1">
      <alignment vertical="center"/>
    </xf>
    <xf numFmtId="0" fontId="18" fillId="0" borderId="0" xfId="0" applyFont="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0" fillId="0" borderId="0" xfId="0" applyFill="1" applyAlignment="1" applyProtection="1">
      <alignment vertical="center" shrinkToFit="1"/>
    </xf>
    <xf numFmtId="38" fontId="21" fillId="0" borderId="0" xfId="3" applyFont="1" applyFill="1" applyBorder="1" applyAlignment="1" applyProtection="1">
      <alignment horizontal="left" shrinkToFit="1"/>
    </xf>
    <xf numFmtId="0" fontId="6" fillId="0" borderId="0" xfId="0" applyFont="1" applyFill="1" applyProtection="1">
      <alignment vertical="center"/>
    </xf>
    <xf numFmtId="0" fontId="54" fillId="0" borderId="0" xfId="0" applyFont="1" applyBorder="1" applyAlignment="1">
      <alignment horizontal="center" vertical="center"/>
    </xf>
    <xf numFmtId="0" fontId="0" fillId="0" borderId="0" xfId="0" applyFont="1">
      <alignment vertical="center"/>
    </xf>
    <xf numFmtId="0" fontId="0" fillId="0" borderId="0" xfId="0">
      <alignment vertical="center"/>
    </xf>
    <xf numFmtId="0" fontId="66" fillId="0" borderId="0" xfId="0" applyFont="1" applyBorder="1" applyAlignment="1">
      <alignment vertical="center"/>
    </xf>
    <xf numFmtId="0" fontId="62" fillId="0" borderId="0" xfId="0" applyFont="1">
      <alignment vertical="center"/>
    </xf>
    <xf numFmtId="0" fontId="62" fillId="0" borderId="0" xfId="0" applyFont="1" applyBorder="1" applyAlignment="1">
      <alignment vertical="center"/>
    </xf>
    <xf numFmtId="0" fontId="67" fillId="0" borderId="0" xfId="0" applyFont="1" applyBorder="1" applyAlignment="1">
      <alignment horizontal="center" vertical="center"/>
    </xf>
    <xf numFmtId="0" fontId="62" fillId="0" borderId="0" xfId="0" applyFont="1" applyBorder="1" applyAlignment="1">
      <alignment horizontal="center" vertical="center"/>
    </xf>
    <xf numFmtId="0" fontId="68" fillId="0" borderId="0" xfId="0" applyFont="1" applyBorder="1" applyAlignment="1">
      <alignment horizontal="center" vertical="center" shrinkToFit="1"/>
    </xf>
    <xf numFmtId="0" fontId="68" fillId="0" borderId="0" xfId="0" applyFont="1" applyBorder="1" applyAlignment="1">
      <alignment horizontal="center" vertical="center"/>
    </xf>
    <xf numFmtId="0" fontId="62" fillId="0" borderId="0" xfId="0" applyFont="1" applyBorder="1">
      <alignment vertical="center"/>
    </xf>
    <xf numFmtId="181" fontId="62" fillId="0" borderId="0" xfId="0" applyNumberFormat="1" applyFont="1" applyBorder="1">
      <alignment vertical="center"/>
    </xf>
    <xf numFmtId="182" fontId="62" fillId="0" borderId="0" xfId="0" applyNumberFormat="1" applyFont="1" applyBorder="1">
      <alignment vertical="center"/>
    </xf>
    <xf numFmtId="0" fontId="69" fillId="0" borderId="0" xfId="0" applyFont="1" applyBorder="1" applyAlignment="1">
      <alignment vertical="center" wrapText="1"/>
    </xf>
    <xf numFmtId="0" fontId="70" fillId="0" borderId="0" xfId="0" applyFont="1" applyBorder="1" applyAlignment="1" applyProtection="1">
      <alignment vertical="center"/>
      <protection locked="0" hidden="1"/>
    </xf>
    <xf numFmtId="0" fontId="70" fillId="0" borderId="0" xfId="0" applyFont="1" applyProtection="1">
      <alignment vertical="center"/>
      <protection locked="0" hidden="1"/>
    </xf>
    <xf numFmtId="0" fontId="0" fillId="0" borderId="0" xfId="0" applyProtection="1">
      <alignment vertical="center"/>
    </xf>
    <xf numFmtId="0" fontId="25" fillId="0" borderId="0" xfId="0" applyFont="1" applyFill="1" applyAlignment="1" applyProtection="1"/>
    <xf numFmtId="0" fontId="28" fillId="0" borderId="0" xfId="0" applyFont="1" applyFill="1" applyAlignment="1" applyProtection="1">
      <alignment vertical="center"/>
    </xf>
    <xf numFmtId="0" fontId="20" fillId="0" borderId="0" xfId="0" applyFont="1" applyFill="1" applyAlignment="1" applyProtection="1">
      <alignment vertical="center"/>
    </xf>
    <xf numFmtId="38" fontId="43" fillId="0" borderId="0" xfId="0" applyNumberFormat="1" applyFont="1" applyFill="1" applyBorder="1" applyAlignment="1" applyProtection="1"/>
    <xf numFmtId="0" fontId="0" fillId="0" borderId="0" xfId="0" applyNumberFormat="1" applyFont="1" applyProtection="1">
      <alignment vertical="center"/>
      <protection hidden="1"/>
    </xf>
    <xf numFmtId="0" fontId="12" fillId="0" borderId="0" xfId="0" applyNumberFormat="1" applyFont="1" applyProtection="1">
      <alignment vertical="center"/>
      <protection hidden="1"/>
    </xf>
    <xf numFmtId="0" fontId="0" fillId="0" borderId="0" xfId="0" applyFont="1" applyProtection="1">
      <alignment vertical="center"/>
      <protection hidden="1"/>
    </xf>
    <xf numFmtId="0" fontId="32" fillId="0" borderId="0" xfId="0" applyNumberFormat="1" applyFont="1" applyFill="1" applyBorder="1" applyAlignment="1" applyProtection="1">
      <alignment horizontal="left" vertical="center" wrapText="1"/>
      <protection hidden="1"/>
    </xf>
    <xf numFmtId="0" fontId="12" fillId="0" borderId="21" xfId="0" applyNumberFormat="1"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7" fillId="0" borderId="0" xfId="0" applyNumberFormat="1" applyFont="1" applyFill="1" applyBorder="1" applyAlignment="1" applyProtection="1">
      <alignment vertical="center" shrinkToFit="1"/>
      <protection hidden="1"/>
    </xf>
    <xf numFmtId="0" fontId="7" fillId="0" borderId="0" xfId="0" applyNumberFormat="1"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0" fillId="0" borderId="0" xfId="0" applyFont="1" applyBorder="1" applyProtection="1">
      <alignment vertical="center"/>
      <protection hidden="1"/>
    </xf>
    <xf numFmtId="0" fontId="12" fillId="0" borderId="0" xfId="0" applyNumberFormat="1" applyFont="1" applyFill="1" applyBorder="1" applyAlignment="1" applyProtection="1">
      <alignment vertical="center"/>
      <protection hidden="1"/>
    </xf>
    <xf numFmtId="0" fontId="32" fillId="0" borderId="0" xfId="0" applyNumberFormat="1" applyFont="1" applyFill="1" applyBorder="1" applyAlignment="1" applyProtection="1">
      <alignment horizontal="left" vertical="center"/>
      <protection hidden="1"/>
    </xf>
    <xf numFmtId="0" fontId="12" fillId="0" borderId="0" xfId="0" applyNumberFormat="1" applyFont="1" applyBorder="1" applyProtection="1">
      <alignment vertical="center"/>
      <protection hidden="1"/>
    </xf>
    <xf numFmtId="0" fontId="32" fillId="0" borderId="21" xfId="0" applyNumberFormat="1" applyFont="1" applyFill="1" applyBorder="1" applyAlignment="1" applyProtection="1">
      <alignment horizontal="left" vertical="center" wrapText="1"/>
      <protection hidden="1"/>
    </xf>
    <xf numFmtId="0" fontId="12" fillId="0" borderId="21" xfId="0" applyNumberFormat="1" applyFont="1" applyBorder="1" applyProtection="1">
      <alignment vertical="center"/>
      <protection hidden="1"/>
    </xf>
    <xf numFmtId="0" fontId="32" fillId="0" borderId="21" xfId="0" applyNumberFormat="1" applyFont="1" applyFill="1" applyBorder="1" applyAlignment="1" applyProtection="1">
      <alignment horizontal="left" vertical="center"/>
      <protection hidden="1"/>
    </xf>
    <xf numFmtId="0" fontId="32" fillId="0" borderId="94" xfId="0" applyNumberFormat="1" applyFont="1" applyFill="1" applyBorder="1" applyAlignment="1" applyProtection="1">
      <alignment horizontal="left" vertical="center" wrapText="1"/>
      <protection hidden="1"/>
    </xf>
    <xf numFmtId="0" fontId="0" fillId="0" borderId="21" xfId="0" applyFont="1" applyBorder="1" applyProtection="1">
      <alignment vertical="center"/>
      <protection hidden="1"/>
    </xf>
    <xf numFmtId="0" fontId="12" fillId="0" borderId="53" xfId="0" applyNumberFormat="1" applyFont="1" applyBorder="1" applyProtection="1">
      <alignment vertical="center"/>
      <protection hidden="1"/>
    </xf>
    <xf numFmtId="0" fontId="12" fillId="0" borderId="21" xfId="0" applyNumberFormat="1" applyFont="1" applyBorder="1" applyAlignment="1" applyProtection="1">
      <alignment horizontal="center" vertical="center"/>
      <protection hidden="1"/>
    </xf>
    <xf numFmtId="0" fontId="0" fillId="0" borderId="21" xfId="0" applyNumberFormat="1" applyFont="1" applyBorder="1" applyProtection="1">
      <alignment vertical="center"/>
      <protection hidden="1"/>
    </xf>
    <xf numFmtId="0" fontId="32" fillId="0" borderId="95" xfId="0" applyNumberFormat="1" applyFont="1" applyFill="1" applyBorder="1" applyAlignment="1" applyProtection="1">
      <alignment horizontal="left" vertical="center" wrapText="1"/>
      <protection hidden="1"/>
    </xf>
    <xf numFmtId="0" fontId="32" fillId="0" borderId="72" xfId="0" applyNumberFormat="1" applyFont="1" applyFill="1" applyBorder="1" applyAlignment="1" applyProtection="1">
      <alignment horizontal="left" vertical="center" wrapText="1"/>
      <protection hidden="1"/>
    </xf>
    <xf numFmtId="0" fontId="32" fillId="0" borderId="93" xfId="0" applyNumberFormat="1" applyFont="1" applyFill="1" applyBorder="1" applyAlignment="1" applyProtection="1">
      <alignment horizontal="left" vertical="center"/>
      <protection hidden="1"/>
    </xf>
    <xf numFmtId="0" fontId="0" fillId="0" borderId="96" xfId="0" applyFont="1" applyBorder="1" applyProtection="1">
      <alignment vertical="center"/>
      <protection hidden="1"/>
    </xf>
    <xf numFmtId="0" fontId="0" fillId="0" borderId="98" xfId="0" applyFont="1" applyBorder="1" applyProtection="1">
      <alignment vertical="center"/>
      <protection hidden="1"/>
    </xf>
    <xf numFmtId="0" fontId="0" fillId="0" borderId="76" xfId="0" applyFont="1" applyBorder="1" applyProtection="1">
      <alignment vertical="center"/>
      <protection hidden="1"/>
    </xf>
    <xf numFmtId="0" fontId="0" fillId="0" borderId="94" xfId="0" applyFont="1" applyBorder="1" applyProtection="1">
      <alignment vertical="center"/>
      <protection hidden="1"/>
    </xf>
    <xf numFmtId="0" fontId="0" fillId="0" borderId="81" xfId="0" applyFont="1" applyBorder="1" applyProtection="1">
      <alignment vertical="center"/>
      <protection hidden="1"/>
    </xf>
    <xf numFmtId="0" fontId="0" fillId="0" borderId="0" xfId="0" applyFont="1" applyFill="1" applyBorder="1" applyProtection="1">
      <alignment vertical="center"/>
      <protection hidden="1"/>
    </xf>
    <xf numFmtId="0" fontId="0" fillId="0" borderId="95" xfId="0" applyFont="1" applyBorder="1" applyProtection="1">
      <alignment vertical="center"/>
      <protection hidden="1"/>
    </xf>
    <xf numFmtId="0" fontId="0" fillId="0" borderId="77" xfId="0" applyFont="1" applyBorder="1" applyProtection="1">
      <alignment vertical="center"/>
      <protection hidden="1"/>
    </xf>
    <xf numFmtId="0" fontId="26" fillId="0" borderId="0" xfId="0" applyFont="1" applyFill="1" applyBorder="1" applyAlignment="1" applyProtection="1">
      <alignment horizontal="left" vertical="center"/>
      <protection hidden="1"/>
    </xf>
    <xf numFmtId="0" fontId="20" fillId="0" borderId="0" xfId="0" applyFont="1" applyFill="1" applyAlignment="1" applyProtection="1">
      <alignment horizontal="center" vertical="center"/>
      <protection hidden="1"/>
    </xf>
    <xf numFmtId="0" fontId="20" fillId="0" borderId="34" xfId="0" applyFont="1" applyFill="1" applyBorder="1" applyAlignment="1" applyProtection="1">
      <alignment horizontal="left" vertical="center"/>
      <protection hidden="1"/>
    </xf>
    <xf numFmtId="0" fontId="20" fillId="0" borderId="34" xfId="0" applyFont="1" applyFill="1" applyBorder="1" applyAlignment="1" applyProtection="1">
      <alignment horizontal="center" vertical="center"/>
      <protection hidden="1"/>
    </xf>
    <xf numFmtId="0" fontId="0" fillId="0" borderId="12" xfId="0" applyFont="1" applyBorder="1" applyProtection="1">
      <alignment vertical="center"/>
      <protection hidden="1"/>
    </xf>
    <xf numFmtId="0" fontId="0" fillId="0" borderId="21" xfId="0" applyFont="1" applyBorder="1" applyAlignment="1" applyProtection="1">
      <alignment horizontal="left" vertical="center"/>
      <protection hidden="1"/>
    </xf>
    <xf numFmtId="0" fontId="20" fillId="0" borderId="21" xfId="0" applyFont="1" applyFill="1" applyBorder="1" applyAlignment="1" applyProtection="1">
      <alignment horizontal="left" vertical="center"/>
      <protection hidden="1"/>
    </xf>
    <xf numFmtId="0" fontId="20" fillId="0" borderId="21" xfId="0" applyFont="1" applyFill="1" applyBorder="1" applyAlignment="1" applyProtection="1">
      <alignment horizontal="center" vertical="center"/>
      <protection hidden="1"/>
    </xf>
    <xf numFmtId="0" fontId="12" fillId="0" borderId="12" xfId="0" applyNumberFormat="1" applyFont="1" applyBorder="1" applyAlignment="1" applyProtection="1">
      <alignment horizontal="center" vertical="center"/>
      <protection hidden="1"/>
    </xf>
    <xf numFmtId="0" fontId="20" fillId="0" borderId="21" xfId="0" applyFont="1" applyFill="1" applyBorder="1" applyAlignment="1" applyProtection="1">
      <alignment horizontal="left" vertical="center" wrapText="1"/>
      <protection hidden="1"/>
    </xf>
    <xf numFmtId="0" fontId="71" fillId="0" borderId="21" xfId="0" applyFont="1" applyFill="1" applyBorder="1" applyAlignment="1" applyProtection="1">
      <alignment horizontal="left" vertical="center"/>
      <protection hidden="1"/>
    </xf>
    <xf numFmtId="0" fontId="20" fillId="0" borderId="12" xfId="0" applyFont="1" applyFill="1" applyBorder="1" applyAlignment="1" applyProtection="1">
      <alignment horizontal="left" vertical="center" wrapText="1"/>
      <protection hidden="1"/>
    </xf>
    <xf numFmtId="0" fontId="20" fillId="0" borderId="12" xfId="0" applyFont="1" applyFill="1" applyBorder="1" applyAlignment="1" applyProtection="1">
      <alignment horizontal="left" vertical="center"/>
      <protection hidden="1"/>
    </xf>
    <xf numFmtId="0" fontId="32" fillId="0" borderId="21" xfId="0" applyNumberFormat="1" applyFont="1" applyFill="1" applyBorder="1" applyAlignment="1" applyProtection="1">
      <alignment vertical="center" wrapText="1"/>
      <protection hidden="1"/>
    </xf>
    <xf numFmtId="0" fontId="46" fillId="0" borderId="0" xfId="0" applyFont="1">
      <alignment vertical="center"/>
    </xf>
    <xf numFmtId="0" fontId="36" fillId="0" borderId="0" xfId="8" applyAlignment="1">
      <alignment horizontal="center" vertical="center"/>
    </xf>
    <xf numFmtId="0" fontId="0" fillId="0" borderId="21" xfId="0" applyFont="1" applyBorder="1" applyAlignment="1">
      <alignment horizontal="center" vertical="center"/>
    </xf>
    <xf numFmtId="0" fontId="0" fillId="0" borderId="54" xfId="0" applyFont="1" applyBorder="1" applyAlignment="1">
      <alignment horizontal="center" vertical="center" wrapText="1"/>
    </xf>
    <xf numFmtId="185" fontId="36" fillId="0" borderId="21" xfId="1" applyNumberFormat="1" applyFont="1" applyBorder="1">
      <alignment vertical="center"/>
    </xf>
    <xf numFmtId="185" fontId="0" fillId="0" borderId="21" xfId="0" applyNumberFormat="1" applyBorder="1">
      <alignment vertical="center"/>
    </xf>
    <xf numFmtId="185" fontId="0" fillId="0" borderId="54" xfId="0" applyNumberFormat="1" applyBorder="1">
      <alignment vertical="center"/>
    </xf>
    <xf numFmtId="185" fontId="0" fillId="0" borderId="94" xfId="0" applyNumberFormat="1" applyBorder="1">
      <alignment vertical="center"/>
    </xf>
    <xf numFmtId="0" fontId="48" fillId="0" borderId="0" xfId="0" applyFont="1" applyBorder="1">
      <alignment vertical="center"/>
    </xf>
    <xf numFmtId="185" fontId="0" fillId="0" borderId="15" xfId="0" applyNumberFormat="1" applyBorder="1">
      <alignment vertical="center"/>
    </xf>
    <xf numFmtId="185" fontId="0" fillId="0" borderId="110" xfId="0" applyNumberFormat="1" applyBorder="1">
      <alignment vertical="center"/>
    </xf>
    <xf numFmtId="185" fontId="48" fillId="0" borderId="93" xfId="0" applyNumberFormat="1" applyFont="1" applyBorder="1">
      <alignment vertical="center"/>
    </xf>
    <xf numFmtId="0" fontId="48" fillId="0" borderId="68"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48" fillId="0" borderId="2" xfId="0" applyFont="1" applyBorder="1">
      <alignment vertical="center"/>
    </xf>
    <xf numFmtId="0" fontId="46" fillId="0" borderId="0" xfId="0" applyFont="1" applyBorder="1">
      <alignment vertical="center"/>
    </xf>
    <xf numFmtId="181" fontId="0" fillId="0" borderId="21" xfId="0" applyNumberFormat="1" applyFont="1" applyBorder="1">
      <alignment vertical="center"/>
    </xf>
    <xf numFmtId="0" fontId="46" fillId="0" borderId="21" xfId="0" applyFont="1" applyBorder="1">
      <alignment vertical="center"/>
    </xf>
    <xf numFmtId="0" fontId="0" fillId="0" borderId="24" xfId="0" applyFont="1" applyBorder="1" applyAlignment="1">
      <alignment horizontal="center" vertical="center" wrapText="1"/>
    </xf>
    <xf numFmtId="185" fontId="0" fillId="3" borderId="21" xfId="0" applyNumberFormat="1" applyFill="1" applyBorder="1">
      <alignment vertical="center"/>
    </xf>
    <xf numFmtId="185" fontId="36" fillId="3" borderId="21" xfId="1" applyNumberFormat="1" applyFont="1" applyFill="1" applyBorder="1">
      <alignment vertical="center"/>
    </xf>
    <xf numFmtId="185" fontId="0" fillId="3" borderId="54" xfId="0" applyNumberFormat="1" applyFill="1" applyBorder="1">
      <alignment vertical="center"/>
    </xf>
    <xf numFmtId="185" fontId="0" fillId="3" borderId="94" xfId="0" applyNumberFormat="1" applyFill="1" applyBorder="1">
      <alignment vertical="center"/>
    </xf>
    <xf numFmtId="185" fontId="0" fillId="3" borderId="24" xfId="0" applyNumberFormat="1" applyFill="1" applyBorder="1">
      <alignment vertical="center"/>
    </xf>
    <xf numFmtId="185" fontId="0" fillId="0" borderId="24" xfId="0" applyNumberFormat="1" applyFill="1" applyBorder="1">
      <alignment vertical="center"/>
    </xf>
    <xf numFmtId="0" fontId="0" fillId="3" borderId="21" xfId="0" applyFill="1" applyBorder="1">
      <alignment vertical="center"/>
    </xf>
    <xf numFmtId="0" fontId="0" fillId="0" borderId="21" xfId="0" applyFont="1" applyBorder="1" applyAlignment="1">
      <alignment horizontal="center" vertical="center" wrapText="1"/>
    </xf>
    <xf numFmtId="185" fontId="0" fillId="0" borderId="111" xfId="0" applyNumberFormat="1" applyFill="1" applyBorder="1">
      <alignment vertical="center"/>
    </xf>
    <xf numFmtId="185" fontId="48" fillId="0" borderId="112" xfId="0" applyNumberFormat="1" applyFont="1" applyBorder="1">
      <alignment vertical="center"/>
    </xf>
    <xf numFmtId="0" fontId="48" fillId="0" borderId="112" xfId="0" applyFont="1" applyBorder="1" applyAlignment="1">
      <alignment horizontal="center" vertical="center"/>
    </xf>
    <xf numFmtId="185" fontId="48" fillId="0" borderId="113" xfId="0" applyNumberFormat="1" applyFont="1" applyBorder="1">
      <alignment vertical="center"/>
    </xf>
    <xf numFmtId="185" fontId="0" fillId="3" borderId="81" xfId="0" applyNumberFormat="1" applyFill="1" applyBorder="1">
      <alignment vertical="center"/>
    </xf>
    <xf numFmtId="185" fontId="0" fillId="0" borderId="81" xfId="0" applyNumberFormat="1" applyFill="1" applyBorder="1">
      <alignment vertical="center"/>
    </xf>
    <xf numFmtId="185" fontId="0" fillId="0" borderId="78" xfId="0" applyNumberFormat="1" applyFill="1" applyBorder="1">
      <alignment vertical="center"/>
    </xf>
    <xf numFmtId="185" fontId="48" fillId="0" borderId="68" xfId="0" applyNumberFormat="1" applyFont="1" applyBorder="1">
      <alignment vertical="center"/>
    </xf>
    <xf numFmtId="185" fontId="48" fillId="0" borderId="114" xfId="0" applyNumberFormat="1" applyFont="1" applyBorder="1">
      <alignment vertical="center"/>
    </xf>
    <xf numFmtId="0" fontId="0" fillId="0" borderId="21" xfId="0" applyFont="1" applyFill="1" applyBorder="1" applyAlignment="1">
      <alignment horizontal="center" vertical="center" wrapText="1"/>
    </xf>
    <xf numFmtId="0" fontId="0" fillId="0" borderId="115" xfId="0" applyBorder="1">
      <alignment vertical="center"/>
    </xf>
    <xf numFmtId="0" fontId="48" fillId="0" borderId="115" xfId="0" applyFont="1" applyBorder="1">
      <alignment vertical="center"/>
    </xf>
    <xf numFmtId="185" fontId="0" fillId="5" borderId="116" xfId="0" applyNumberFormat="1" applyFill="1" applyBorder="1">
      <alignment vertical="center"/>
    </xf>
    <xf numFmtId="185" fontId="0" fillId="5" borderId="117" xfId="0" applyNumberFormat="1" applyFill="1" applyBorder="1">
      <alignment vertical="center"/>
    </xf>
    <xf numFmtId="185" fontId="0" fillId="5" borderId="21" xfId="0" applyNumberFormat="1" applyFill="1" applyBorder="1">
      <alignment vertical="center"/>
    </xf>
    <xf numFmtId="185" fontId="0" fillId="5" borderId="54" xfId="0" applyNumberFormat="1" applyFill="1" applyBorder="1">
      <alignment vertical="center"/>
    </xf>
    <xf numFmtId="185" fontId="0" fillId="5" borderId="94" xfId="0" applyNumberFormat="1" applyFill="1" applyBorder="1">
      <alignment vertical="center"/>
    </xf>
    <xf numFmtId="185" fontId="36" fillId="5" borderId="21" xfId="1" applyNumberFormat="1" applyFont="1" applyFill="1" applyBorder="1">
      <alignment vertical="center"/>
    </xf>
    <xf numFmtId="0" fontId="0" fillId="3" borderId="115" xfId="0" applyFont="1" applyFill="1" applyBorder="1">
      <alignment vertical="center"/>
    </xf>
    <xf numFmtId="0" fontId="0" fillId="3" borderId="115" xfId="0" applyFill="1" applyBorder="1">
      <alignment vertical="center"/>
    </xf>
    <xf numFmtId="0" fontId="0" fillId="0" borderId="0" xfId="0" applyProtection="1">
      <alignment vertical="center"/>
    </xf>
    <xf numFmtId="185" fontId="48" fillId="0" borderId="21" xfId="0" applyNumberFormat="1" applyFont="1" applyBorder="1">
      <alignment vertical="center"/>
    </xf>
    <xf numFmtId="0" fontId="0" fillId="0" borderId="21" xfId="0" applyBorder="1">
      <alignment vertical="center"/>
    </xf>
    <xf numFmtId="0" fontId="46" fillId="0" borderId="21" xfId="0" applyFont="1" applyBorder="1" applyAlignment="1">
      <alignment horizontal="center" vertical="center"/>
    </xf>
    <xf numFmtId="0" fontId="46" fillId="3" borderId="21" xfId="0" applyFont="1" applyFill="1" applyBorder="1" applyAlignment="1">
      <alignment horizontal="center" vertical="center"/>
    </xf>
    <xf numFmtId="0" fontId="46" fillId="5" borderId="38" xfId="0" applyFont="1" applyFill="1" applyBorder="1" applyAlignment="1">
      <alignment horizontal="center" vertical="center"/>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0" xfId="0" applyFont="1" applyBorder="1" applyAlignment="1">
      <alignment horizontal="center" vertical="center"/>
    </xf>
    <xf numFmtId="177" fontId="0" fillId="0" borderId="54" xfId="0" applyNumberFormat="1" applyBorder="1">
      <alignment vertical="center"/>
    </xf>
    <xf numFmtId="0" fontId="46" fillId="0" borderId="10" xfId="0" applyFont="1" applyBorder="1" applyAlignment="1">
      <alignment vertical="center"/>
    </xf>
    <xf numFmtId="181" fontId="0" fillId="0" borderId="21" xfId="0" applyNumberFormat="1" applyFont="1" applyBorder="1" applyAlignment="1">
      <alignment vertical="center"/>
    </xf>
    <xf numFmtId="181" fontId="0" fillId="0" borderId="0" xfId="0" applyNumberFormat="1" applyFont="1" applyBorder="1" applyAlignment="1">
      <alignment vertical="center"/>
    </xf>
    <xf numFmtId="0" fontId="75" fillId="0" borderId="0" xfId="0" applyFont="1" applyBorder="1" applyAlignment="1">
      <alignment vertical="center"/>
    </xf>
    <xf numFmtId="0" fontId="0" fillId="5" borderId="21" xfId="0" applyFill="1" applyBorder="1">
      <alignment vertical="center"/>
    </xf>
    <xf numFmtId="0" fontId="0" fillId="0" borderId="21" xfId="0" applyBorder="1" applyProtection="1">
      <alignment vertical="center"/>
    </xf>
    <xf numFmtId="0" fontId="46" fillId="0" borderId="21" xfId="0" applyFont="1" applyBorder="1" applyProtection="1">
      <alignment vertical="center"/>
    </xf>
    <xf numFmtId="0" fontId="46" fillId="0" borderId="0" xfId="0" applyFont="1" applyProtection="1">
      <alignment vertical="center"/>
    </xf>
    <xf numFmtId="0" fontId="20" fillId="0" borderId="21" xfId="0" applyFont="1" applyFill="1" applyBorder="1" applyAlignment="1" applyProtection="1">
      <alignment vertical="center"/>
    </xf>
    <xf numFmtId="0" fontId="46" fillId="0" borderId="0" xfId="0" applyFont="1" applyBorder="1" applyProtection="1">
      <alignment vertical="center"/>
    </xf>
    <xf numFmtId="0" fontId="35" fillId="0" borderId="21" xfId="0" applyFont="1" applyFill="1" applyBorder="1" applyAlignment="1" applyProtection="1">
      <alignment vertical="center"/>
    </xf>
    <xf numFmtId="0" fontId="0" fillId="0" borderId="21" xfId="0" applyBorder="1" applyAlignment="1">
      <alignment horizontal="center" vertical="center"/>
    </xf>
    <xf numFmtId="0" fontId="0" fillId="3" borderId="21" xfId="0" applyFill="1" applyBorder="1" applyAlignment="1">
      <alignment horizontal="center" vertical="center"/>
    </xf>
    <xf numFmtId="38" fontId="78" fillId="0" borderId="0" xfId="3" applyFont="1" applyFill="1" applyBorder="1" applyAlignment="1" applyProtection="1">
      <alignment horizontal="center"/>
    </xf>
    <xf numFmtId="0" fontId="78" fillId="0" borderId="0" xfId="0" applyFont="1" applyFill="1" applyBorder="1" applyAlignment="1" applyProtection="1"/>
    <xf numFmtId="6" fontId="79" fillId="0" borderId="0" xfId="6" applyFont="1" applyFill="1" applyBorder="1" applyAlignment="1" applyProtection="1">
      <alignment vertical="top" wrapText="1"/>
    </xf>
    <xf numFmtId="0" fontId="79" fillId="0" borderId="0" xfId="0" applyFont="1" applyFill="1" applyBorder="1" applyAlignment="1" applyProtection="1">
      <alignment vertical="center" wrapText="1"/>
    </xf>
    <xf numFmtId="38" fontId="78" fillId="0" borderId="0" xfId="0" applyNumberFormat="1" applyFont="1" applyFill="1" applyBorder="1" applyAlignment="1" applyProtection="1"/>
    <xf numFmtId="0" fontId="80" fillId="0" borderId="0" xfId="0" applyFont="1" applyFill="1" applyBorder="1" applyAlignment="1" applyProtection="1">
      <alignment vertical="center"/>
    </xf>
    <xf numFmtId="0" fontId="81" fillId="0" borderId="0" xfId="0" applyFont="1" applyFill="1" applyBorder="1" applyAlignment="1" applyProtection="1"/>
    <xf numFmtId="178" fontId="78" fillId="0" borderId="0" xfId="0" applyNumberFormat="1" applyFont="1" applyFill="1" applyBorder="1" applyAlignment="1" applyProtection="1">
      <alignment horizontal="center" vertical="center" shrinkToFit="1"/>
    </xf>
    <xf numFmtId="178" fontId="81" fillId="0" borderId="0" xfId="3" applyNumberFormat="1" applyFont="1" applyFill="1" applyBorder="1" applyAlignment="1" applyProtection="1">
      <alignment horizontal="center" vertical="center" shrinkToFit="1"/>
    </xf>
    <xf numFmtId="0" fontId="79" fillId="0" borderId="0" xfId="0" applyFont="1" applyFill="1" applyBorder="1" applyAlignment="1" applyProtection="1">
      <alignment horizontal="center" vertical="center"/>
    </xf>
    <xf numFmtId="178" fontId="79" fillId="0" borderId="0" xfId="0" applyNumberFormat="1" applyFont="1" applyFill="1" applyBorder="1" applyAlignment="1" applyProtection="1">
      <alignment horizontal="right" vertical="center"/>
    </xf>
    <xf numFmtId="0" fontId="79" fillId="0" borderId="0" xfId="0" applyFont="1" applyFill="1" applyBorder="1" applyAlignment="1" applyProtection="1">
      <alignment horizontal="right" vertical="center"/>
    </xf>
    <xf numFmtId="178" fontId="79" fillId="0" borderId="0" xfId="0" applyNumberFormat="1" applyFont="1" applyFill="1" applyBorder="1" applyAlignment="1" applyProtection="1">
      <alignment horizontal="center" vertical="center"/>
    </xf>
    <xf numFmtId="38" fontId="79" fillId="0" borderId="0" xfId="3" applyFont="1" applyFill="1" applyBorder="1" applyAlignment="1" applyProtection="1">
      <alignment horizontal="center" vertical="center"/>
    </xf>
    <xf numFmtId="178" fontId="81" fillId="0" borderId="0" xfId="0" applyNumberFormat="1" applyFont="1" applyFill="1" applyBorder="1" applyAlignment="1" applyProtection="1">
      <alignment vertical="center" shrinkToFit="1"/>
    </xf>
    <xf numFmtId="178" fontId="81" fillId="0" borderId="0" xfId="0" applyNumberFormat="1" applyFont="1" applyFill="1" applyBorder="1" applyAlignment="1" applyProtection="1">
      <alignment horizontal="center" vertical="center" shrinkToFit="1"/>
    </xf>
    <xf numFmtId="178" fontId="81" fillId="0" borderId="0" xfId="3" applyNumberFormat="1" applyFont="1" applyFill="1" applyBorder="1" applyAlignment="1" applyProtection="1">
      <alignment vertical="center" shrinkToFit="1"/>
    </xf>
    <xf numFmtId="176" fontId="72" fillId="0" borderId="0" xfId="0" applyNumberFormat="1" applyFont="1" applyFill="1" applyBorder="1" applyAlignment="1" applyProtection="1">
      <alignment horizontal="center" vertical="center" shrinkToFit="1"/>
    </xf>
    <xf numFmtId="176" fontId="72" fillId="0" borderId="0" xfId="3" applyNumberFormat="1" applyFont="1" applyFill="1" applyBorder="1" applyAlignment="1" applyProtection="1">
      <alignment horizontal="right" vertical="center" shrinkToFit="1"/>
    </xf>
    <xf numFmtId="0" fontId="82" fillId="0" borderId="0" xfId="0" applyFont="1" applyFill="1" applyBorder="1" applyAlignment="1" applyProtection="1">
      <alignment vertical="center" wrapText="1"/>
    </xf>
    <xf numFmtId="0" fontId="82"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protection locked="0"/>
    </xf>
    <xf numFmtId="38" fontId="37" fillId="0" borderId="0" xfId="3" applyFont="1" applyFill="1" applyBorder="1" applyAlignment="1" applyProtection="1">
      <alignment horizontal="right" vertical="center"/>
      <protection locked="0"/>
    </xf>
    <xf numFmtId="0" fontId="37" fillId="0" borderId="0" xfId="0" applyFont="1" applyFill="1" applyBorder="1" applyAlignment="1" applyProtection="1">
      <alignment horizontal="center" vertical="center"/>
    </xf>
    <xf numFmtId="179" fontId="81" fillId="0" borderId="0" xfId="3" applyNumberFormat="1" applyFont="1" applyFill="1" applyBorder="1" applyAlignment="1" applyProtection="1">
      <alignment horizontal="right" vertical="center" shrinkToFit="1"/>
    </xf>
    <xf numFmtId="0" fontId="72" fillId="0" borderId="0" xfId="0" applyFont="1" applyFill="1" applyBorder="1" applyAlignment="1" applyProtection="1">
      <alignment horizontal="center" vertical="center"/>
    </xf>
    <xf numFmtId="180" fontId="72" fillId="0" borderId="0" xfId="0" applyNumberFormat="1" applyFont="1" applyFill="1" applyBorder="1" applyAlignment="1" applyProtection="1">
      <alignment horizontal="center" vertical="center" shrinkToFit="1"/>
    </xf>
    <xf numFmtId="180" fontId="81" fillId="0" borderId="0" xfId="3" applyNumberFormat="1" applyFont="1" applyFill="1" applyBorder="1" applyAlignment="1" applyProtection="1">
      <alignment horizontal="right" vertical="center" shrinkToFit="1"/>
    </xf>
    <xf numFmtId="180" fontId="72" fillId="0" borderId="0" xfId="3" applyNumberFormat="1" applyFont="1" applyFill="1" applyBorder="1" applyAlignment="1" applyProtection="1">
      <alignment vertical="center" shrinkToFit="1"/>
    </xf>
    <xf numFmtId="49" fontId="81" fillId="0" borderId="0" xfId="3" applyNumberFormat="1" applyFont="1" applyFill="1" applyBorder="1" applyAlignment="1" applyProtection="1">
      <alignment horizontal="center" vertical="center" shrinkToFit="1"/>
    </xf>
    <xf numFmtId="38" fontId="81" fillId="0" borderId="0" xfId="3" applyFont="1" applyFill="1" applyBorder="1" applyAlignment="1" applyProtection="1">
      <alignment horizontal="right" vertical="center" shrinkToFit="1"/>
    </xf>
    <xf numFmtId="180" fontId="81" fillId="0" borderId="0" xfId="3" applyNumberFormat="1" applyFont="1" applyFill="1" applyBorder="1" applyAlignment="1" applyProtection="1">
      <alignment vertical="center" shrinkToFit="1"/>
    </xf>
    <xf numFmtId="176" fontId="72" fillId="0" borderId="0" xfId="0" applyNumberFormat="1" applyFont="1" applyFill="1" applyBorder="1" applyAlignment="1" applyProtection="1">
      <alignment vertical="center" shrinkToFit="1"/>
    </xf>
    <xf numFmtId="182" fontId="72" fillId="0" borderId="0" xfId="3" applyNumberFormat="1" applyFont="1" applyFill="1" applyBorder="1" applyAlignment="1" applyProtection="1">
      <alignment vertical="center" shrinkToFit="1"/>
    </xf>
    <xf numFmtId="180" fontId="81" fillId="0" borderId="0" xfId="3" applyNumberFormat="1" applyFont="1" applyFill="1" applyBorder="1" applyAlignment="1" applyProtection="1">
      <alignment horizontal="center" vertical="center" shrinkToFit="1"/>
    </xf>
    <xf numFmtId="176" fontId="72" fillId="0" borderId="0" xfId="3" applyNumberFormat="1" applyFont="1" applyFill="1" applyBorder="1" applyAlignment="1" applyProtection="1">
      <alignment vertical="center" shrinkToFit="1"/>
    </xf>
    <xf numFmtId="0" fontId="72" fillId="0" borderId="0" xfId="0" applyFont="1" applyFill="1" applyBorder="1" applyAlignment="1" applyProtection="1">
      <alignment horizontal="center" vertical="center" shrinkToFit="1"/>
    </xf>
    <xf numFmtId="0" fontId="83" fillId="0" borderId="0" xfId="0" applyFont="1" applyFill="1" applyBorder="1" applyAlignment="1" applyProtection="1">
      <alignment vertical="top" shrinkToFit="1"/>
    </xf>
    <xf numFmtId="177" fontId="83" fillId="0" borderId="0" xfId="0" applyNumberFormat="1" applyFont="1" applyFill="1" applyBorder="1" applyAlignment="1" applyProtection="1">
      <alignment vertical="top" shrinkToFit="1"/>
    </xf>
    <xf numFmtId="0" fontId="80" fillId="0" borderId="0" xfId="0" applyFont="1" applyFill="1" applyBorder="1" applyAlignment="1" applyProtection="1">
      <alignment vertical="center" wrapText="1"/>
    </xf>
    <xf numFmtId="0" fontId="79" fillId="0" borderId="0" xfId="0" applyFont="1" applyFill="1" applyBorder="1" applyAlignment="1" applyProtection="1">
      <alignment vertical="center"/>
    </xf>
    <xf numFmtId="178" fontId="72" fillId="0" borderId="0" xfId="0" applyNumberFormat="1" applyFont="1" applyFill="1" applyBorder="1" applyAlignment="1" applyProtection="1">
      <alignment vertical="center" shrinkToFit="1"/>
    </xf>
    <xf numFmtId="0" fontId="79" fillId="0" borderId="0" xfId="0" applyFont="1" applyFill="1" applyBorder="1" applyAlignment="1" applyProtection="1">
      <alignment vertical="center" shrinkToFit="1"/>
    </xf>
    <xf numFmtId="178" fontId="84" fillId="0" borderId="0" xfId="0" applyNumberFormat="1" applyFont="1" applyFill="1" applyBorder="1" applyAlignment="1" applyProtection="1">
      <alignment vertical="center" textRotation="255"/>
    </xf>
    <xf numFmtId="178" fontId="37" fillId="0" borderId="0" xfId="0" applyNumberFormat="1" applyFont="1" applyFill="1" applyBorder="1" applyAlignment="1" applyProtection="1">
      <alignment vertical="center" shrinkToFit="1"/>
    </xf>
    <xf numFmtId="0" fontId="78" fillId="0" borderId="0" xfId="0" applyFont="1" applyFill="1" applyBorder="1" applyAlignment="1" applyProtection="1">
      <alignment vertical="center" wrapText="1"/>
    </xf>
    <xf numFmtId="178" fontId="60" fillId="0" borderId="0" xfId="0" applyNumberFormat="1" applyFont="1" applyFill="1" applyBorder="1" applyAlignment="1" applyProtection="1">
      <alignment vertical="center" shrinkToFit="1"/>
    </xf>
    <xf numFmtId="178" fontId="79" fillId="0" borderId="0" xfId="0" applyNumberFormat="1" applyFont="1" applyFill="1" applyBorder="1" applyAlignment="1" applyProtection="1">
      <alignment vertical="center"/>
    </xf>
    <xf numFmtId="0" fontId="37" fillId="0" borderId="0" xfId="0" applyFont="1" applyFill="1" applyBorder="1" applyAlignment="1" applyProtection="1">
      <alignment vertical="center"/>
    </xf>
    <xf numFmtId="178" fontId="81" fillId="0" borderId="0" xfId="0" applyNumberFormat="1" applyFont="1" applyFill="1" applyBorder="1" applyAlignment="1" applyProtection="1">
      <alignment vertical="center" textRotation="255" shrinkToFit="1"/>
    </xf>
    <xf numFmtId="0" fontId="85" fillId="0" borderId="0" xfId="0" applyFont="1" applyFill="1" applyBorder="1" applyAlignment="1" applyProtection="1">
      <alignment vertical="center" wrapText="1"/>
    </xf>
    <xf numFmtId="176" fontId="72" fillId="0" borderId="0" xfId="0" applyNumberFormat="1" applyFont="1" applyFill="1" applyBorder="1" applyAlignment="1" applyProtection="1">
      <alignment vertical="center" shrinkToFit="1"/>
      <protection locked="0"/>
    </xf>
    <xf numFmtId="0" fontId="60" fillId="0" borderId="0" xfId="0" applyFont="1" applyFill="1" applyBorder="1" applyAlignment="1" applyProtection="1">
      <alignment vertical="center"/>
    </xf>
    <xf numFmtId="0" fontId="60" fillId="0" borderId="0" xfId="0" applyFont="1" applyFill="1" applyBorder="1" applyAlignment="1" applyProtection="1">
      <alignment vertical="center" textRotation="255" wrapText="1" shrinkToFit="1"/>
    </xf>
    <xf numFmtId="0" fontId="60" fillId="0" borderId="0" xfId="0" applyFont="1" applyFill="1" applyBorder="1" applyAlignment="1" applyProtection="1">
      <alignment vertical="center" justifyLastLine="1"/>
    </xf>
    <xf numFmtId="0" fontId="79" fillId="0" borderId="0" xfId="0" applyFont="1" applyFill="1" applyBorder="1" applyAlignment="1" applyProtection="1">
      <alignment vertical="center" justifyLastLine="1"/>
      <protection locked="0"/>
    </xf>
    <xf numFmtId="6" fontId="80" fillId="0" borderId="0" xfId="6" applyFont="1" applyFill="1" applyBorder="1" applyAlignment="1" applyProtection="1">
      <alignment vertical="center" wrapText="1"/>
    </xf>
    <xf numFmtId="0" fontId="84" fillId="0" borderId="0" xfId="0" applyFont="1" applyFill="1" applyBorder="1" applyAlignment="1" applyProtection="1">
      <alignment vertical="center" textRotation="255"/>
    </xf>
    <xf numFmtId="0" fontId="37" fillId="0" borderId="0" xfId="0" applyFont="1" applyFill="1" applyBorder="1" applyAlignment="1" applyProtection="1">
      <alignment vertical="center" wrapText="1" shrinkToFit="1"/>
    </xf>
    <xf numFmtId="0" fontId="37" fillId="0" borderId="0" xfId="0" applyFont="1" applyFill="1" applyBorder="1" applyAlignment="1" applyProtection="1">
      <alignment vertical="center" shrinkToFit="1"/>
    </xf>
    <xf numFmtId="0" fontId="37" fillId="0" borderId="0" xfId="0" applyFont="1" applyFill="1" applyBorder="1" applyAlignment="1" applyProtection="1">
      <alignment vertical="center" wrapText="1"/>
    </xf>
    <xf numFmtId="38" fontId="81" fillId="0" borderId="0" xfId="3" applyFont="1" applyFill="1" applyBorder="1" applyAlignment="1" applyProtection="1"/>
    <xf numFmtId="38" fontId="37" fillId="0" borderId="0" xfId="3" applyFont="1" applyFill="1" applyBorder="1" applyAlignment="1" applyProtection="1"/>
    <xf numFmtId="0" fontId="60" fillId="0" borderId="0" xfId="0" applyFont="1" applyFill="1" applyBorder="1" applyAlignment="1" applyProtection="1">
      <alignment vertical="center" textRotation="255" shrinkToFit="1"/>
    </xf>
    <xf numFmtId="0" fontId="72" fillId="0" borderId="0" xfId="0" applyFont="1" applyFill="1" applyBorder="1" applyAlignment="1" applyProtection="1">
      <alignment vertical="center"/>
      <protection locked="0"/>
    </xf>
    <xf numFmtId="0" fontId="37" fillId="0" borderId="0" xfId="0" applyFont="1" applyFill="1" applyBorder="1" applyAlignment="1" applyProtection="1">
      <alignment vertical="center" shrinkToFit="1"/>
      <protection locked="0"/>
    </xf>
    <xf numFmtId="180" fontId="72" fillId="0" borderId="0" xfId="0" applyNumberFormat="1" applyFont="1" applyFill="1" applyBorder="1" applyAlignment="1" applyProtection="1">
      <alignment vertical="center" shrinkToFit="1"/>
      <protection locked="0"/>
    </xf>
    <xf numFmtId="178" fontId="60" fillId="0" borderId="0" xfId="0" applyNumberFormat="1" applyFont="1" applyFill="1" applyBorder="1" applyAlignment="1" applyProtection="1">
      <alignment vertical="center" shrinkToFit="1"/>
      <protection locked="0"/>
    </xf>
    <xf numFmtId="0" fontId="37" fillId="0" borderId="0" xfId="0" applyFont="1" applyFill="1" applyBorder="1" applyAlignment="1" applyProtection="1">
      <alignment vertical="center" wrapText="1" shrinkToFit="1"/>
      <protection locked="0"/>
    </xf>
    <xf numFmtId="0" fontId="81" fillId="0" borderId="0" xfId="0" applyFont="1" applyFill="1" applyBorder="1" applyAlignment="1" applyProtection="1">
      <alignment vertical="center" shrinkToFit="1"/>
    </xf>
    <xf numFmtId="180" fontId="72" fillId="0" borderId="0" xfId="0" applyNumberFormat="1" applyFont="1" applyFill="1" applyBorder="1" applyAlignment="1" applyProtection="1">
      <alignment vertical="center" shrinkToFit="1"/>
    </xf>
    <xf numFmtId="0" fontId="81" fillId="0" borderId="0" xfId="0" applyFont="1" applyFill="1" applyBorder="1" applyAlignment="1" applyProtection="1">
      <alignment vertical="center" textRotation="255"/>
    </xf>
    <xf numFmtId="0" fontId="37" fillId="0" borderId="0" xfId="0" applyFont="1" applyFill="1" applyBorder="1" applyAlignment="1" applyProtection="1">
      <alignment vertical="distributed" textRotation="255" justifyLastLine="1"/>
    </xf>
    <xf numFmtId="0" fontId="79" fillId="0" borderId="0" xfId="0" applyFont="1" applyFill="1" applyBorder="1" applyAlignment="1" applyProtection="1">
      <alignment vertical="center" textRotation="255" wrapText="1"/>
    </xf>
    <xf numFmtId="0" fontId="37" fillId="0" borderId="0" xfId="0" applyFont="1" applyFill="1" applyBorder="1" applyAlignment="1" applyProtection="1">
      <alignment vertical="center" justifyLastLine="1"/>
    </xf>
    <xf numFmtId="0" fontId="37" fillId="0" borderId="0" xfId="0" applyFont="1" applyFill="1" applyBorder="1" applyAlignment="1" applyProtection="1">
      <alignment vertical="center" wrapText="1" justifyLastLine="1"/>
    </xf>
    <xf numFmtId="0" fontId="72" fillId="0" borderId="0" xfId="0" applyFont="1" applyFill="1" applyBorder="1" applyAlignment="1" applyProtection="1">
      <alignment vertical="center" shrinkToFit="1"/>
    </xf>
    <xf numFmtId="0" fontId="86" fillId="0" borderId="0" xfId="0" applyFont="1" applyAlignment="1">
      <alignment horizontal="center" vertical="center" wrapText="1"/>
    </xf>
    <xf numFmtId="0" fontId="48" fillId="0" borderId="21" xfId="0" applyFont="1" applyBorder="1">
      <alignment vertical="center"/>
    </xf>
    <xf numFmtId="0" fontId="86" fillId="0" borderId="10" xfId="0" applyFont="1" applyBorder="1" applyAlignment="1">
      <alignment horizontal="center" vertical="center" wrapText="1"/>
    </xf>
    <xf numFmtId="0" fontId="24" fillId="0" borderId="0" xfId="0" applyFont="1" applyFill="1" applyAlignment="1" applyProtection="1">
      <alignment vertical="center"/>
    </xf>
    <xf numFmtId="0" fontId="43" fillId="0" borderId="101" xfId="0" applyFont="1" applyFill="1" applyBorder="1" applyAlignment="1" applyProtection="1"/>
    <xf numFmtId="0" fontId="48" fillId="0" borderId="21" xfId="0" applyFont="1" applyBorder="1" applyAlignment="1">
      <alignment horizontal="center" vertical="center"/>
    </xf>
    <xf numFmtId="0" fontId="75" fillId="0" borderId="21" xfId="0" applyFont="1" applyBorder="1">
      <alignment vertical="center"/>
    </xf>
    <xf numFmtId="0" fontId="48" fillId="0" borderId="0" xfId="0" applyFont="1" applyAlignment="1">
      <alignment horizontal="center" vertical="center"/>
    </xf>
    <xf numFmtId="0" fontId="48" fillId="0" borderId="2" xfId="0" applyFont="1" applyBorder="1" applyAlignment="1">
      <alignment horizontal="center" vertical="center"/>
    </xf>
    <xf numFmtId="0" fontId="0" fillId="0" borderId="0" xfId="0" applyFont="1">
      <alignment vertical="center"/>
    </xf>
    <xf numFmtId="0" fontId="49"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Border="1" applyAlignment="1">
      <alignment horizontal="center" vertical="center"/>
    </xf>
    <xf numFmtId="0" fontId="46" fillId="0" borderId="21" xfId="0" applyFont="1" applyBorder="1" applyAlignment="1">
      <alignment horizontal="center" vertical="center"/>
    </xf>
    <xf numFmtId="187" fontId="0" fillId="0" borderId="0" xfId="0" applyNumberFormat="1" applyFont="1" applyBorder="1">
      <alignment vertical="center"/>
    </xf>
    <xf numFmtId="188" fontId="0" fillId="0" borderId="0" xfId="0" applyNumberFormat="1" applyFont="1" applyBorder="1">
      <alignment vertical="center"/>
    </xf>
    <xf numFmtId="0" fontId="0" fillId="0" borderId="34" xfId="0" applyFont="1" applyBorder="1" applyAlignment="1">
      <alignment horizontal="center" vertical="center"/>
    </xf>
    <xf numFmtId="0" fontId="0" fillId="0" borderId="0" xfId="0" applyFont="1" applyBorder="1">
      <alignment vertical="center"/>
    </xf>
    <xf numFmtId="0" fontId="48"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185" fontId="0" fillId="0" borderId="21" xfId="0" applyNumberFormat="1" applyFont="1" applyBorder="1">
      <alignment vertical="center"/>
    </xf>
    <xf numFmtId="0" fontId="0" fillId="0" borderId="0" xfId="0" applyAlignment="1">
      <alignment horizontal="center" vertical="center"/>
    </xf>
    <xf numFmtId="0" fontId="48" fillId="0" borderId="39" xfId="0" applyFont="1" applyBorder="1">
      <alignment vertical="center"/>
    </xf>
    <xf numFmtId="0" fontId="48" fillId="0" borderId="39" xfId="0" applyFont="1" applyBorder="1" applyAlignment="1">
      <alignment horizontal="center" vertical="center"/>
    </xf>
    <xf numFmtId="0" fontId="46"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ill="1" applyBorder="1">
      <alignment vertical="center"/>
    </xf>
    <xf numFmtId="0" fontId="0" fillId="0" borderId="0" xfId="0" applyFill="1">
      <alignment vertical="center"/>
    </xf>
    <xf numFmtId="0" fontId="46" fillId="0" borderId="0" xfId="0" applyFont="1" applyFill="1">
      <alignment vertical="center"/>
    </xf>
    <xf numFmtId="0" fontId="46" fillId="0" borderId="21" xfId="0" applyFont="1" applyFill="1" applyBorder="1" applyAlignment="1">
      <alignment horizontal="right" vertical="center"/>
    </xf>
    <xf numFmtId="0" fontId="0" fillId="0" borderId="21" xfId="0" applyBorder="1" applyAlignment="1">
      <alignment horizontal="right" vertical="center"/>
    </xf>
    <xf numFmtId="0" fontId="0" fillId="0" borderId="0" xfId="0" applyFill="1" applyBorder="1" applyAlignment="1">
      <alignment horizontal="center" vertical="center"/>
    </xf>
    <xf numFmtId="0" fontId="0" fillId="0" borderId="0" xfId="0" applyFill="1" applyBorder="1">
      <alignment vertical="center"/>
    </xf>
    <xf numFmtId="0" fontId="46" fillId="0" borderId="34" xfId="0" applyFont="1" applyFill="1" applyBorder="1" applyAlignment="1">
      <alignment horizontal="center" vertical="center"/>
    </xf>
    <xf numFmtId="0" fontId="0" fillId="0" borderId="34" xfId="0" applyBorder="1">
      <alignment vertical="center"/>
    </xf>
    <xf numFmtId="0" fontId="0" fillId="0" borderId="34" xfId="0" applyBorder="1" applyAlignment="1">
      <alignment horizontal="right" vertical="center"/>
    </xf>
    <xf numFmtId="0" fontId="46" fillId="0" borderId="0" xfId="0" applyFont="1" applyFill="1" applyBorder="1" applyAlignment="1">
      <alignment horizontal="center" vertical="center"/>
    </xf>
    <xf numFmtId="0" fontId="46" fillId="0" borderId="112" xfId="0" applyFont="1" applyFill="1" applyBorder="1" applyAlignment="1">
      <alignment horizontal="center" vertical="center"/>
    </xf>
    <xf numFmtId="0" fontId="0" fillId="0" borderId="113" xfId="0" applyBorder="1">
      <alignment vertical="center"/>
    </xf>
    <xf numFmtId="0" fontId="0" fillId="0" borderId="126" xfId="0" applyBorder="1">
      <alignment vertical="center"/>
    </xf>
    <xf numFmtId="0" fontId="48" fillId="0" borderId="39" xfId="0" applyFont="1" applyBorder="1" applyAlignment="1">
      <alignment horizontal="center" vertical="center" wrapText="1"/>
    </xf>
    <xf numFmtId="0" fontId="0" fillId="0" borderId="38" xfId="0" applyFont="1" applyFill="1" applyBorder="1" applyAlignment="1">
      <alignment horizontal="center" vertical="center"/>
    </xf>
    <xf numFmtId="0" fontId="91" fillId="0" borderId="21" xfId="0" applyFont="1" applyBorder="1" applyAlignment="1">
      <alignment horizontal="center" vertical="center"/>
    </xf>
    <xf numFmtId="0" fontId="44" fillId="0" borderId="21" xfId="0" applyFont="1" applyBorder="1" applyAlignment="1">
      <alignment horizontal="center" vertical="center"/>
    </xf>
    <xf numFmtId="0" fontId="44" fillId="0" borderId="21" xfId="0" applyFont="1" applyFill="1" applyBorder="1" applyAlignment="1">
      <alignment horizontal="center" vertical="center"/>
    </xf>
    <xf numFmtId="181" fontId="0" fillId="0" borderId="34" xfId="0" applyNumberFormat="1" applyFont="1" applyBorder="1" applyAlignment="1">
      <alignment vertical="center"/>
    </xf>
    <xf numFmtId="0" fontId="0" fillId="0" borderId="263" xfId="0" applyFont="1" applyBorder="1" applyAlignment="1">
      <alignment horizontal="center" vertical="center"/>
    </xf>
    <xf numFmtId="0" fontId="0" fillId="0" borderId="105" xfId="0" applyFont="1" applyBorder="1" applyAlignment="1">
      <alignment horizontal="center" vertical="center" wrapText="1"/>
    </xf>
    <xf numFmtId="0" fontId="0" fillId="0" borderId="0" xfId="0" applyFont="1" applyBorder="1">
      <alignment vertical="center"/>
    </xf>
    <xf numFmtId="189" fontId="0" fillId="0" borderId="21" xfId="0" applyNumberFormat="1" applyFont="1" applyBorder="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0" xfId="0" applyFont="1" applyBorder="1">
      <alignment vertical="center"/>
    </xf>
    <xf numFmtId="0" fontId="92" fillId="18" borderId="265" xfId="0" applyFont="1" applyFill="1" applyBorder="1" applyAlignment="1">
      <alignment vertical="center" wrapText="1"/>
    </xf>
    <xf numFmtId="0" fontId="92" fillId="18" borderId="0" xfId="0" applyFont="1" applyFill="1" applyBorder="1" applyAlignment="1">
      <alignment vertical="center" wrapText="1"/>
    </xf>
    <xf numFmtId="0" fontId="46" fillId="18" borderId="0" xfId="0" applyFont="1" applyFill="1" applyBorder="1" applyAlignment="1">
      <alignment vertical="center" wrapText="1"/>
    </xf>
    <xf numFmtId="0" fontId="93" fillId="18" borderId="0" xfId="12" applyFill="1" applyBorder="1" applyAlignment="1">
      <alignment vertical="center" wrapText="1"/>
    </xf>
    <xf numFmtId="0" fontId="92" fillId="18" borderId="268" xfId="0" applyFont="1" applyFill="1" applyBorder="1" applyAlignment="1">
      <alignment vertical="center" wrapText="1"/>
    </xf>
    <xf numFmtId="0" fontId="92" fillId="18" borderId="267" xfId="0" applyFont="1" applyFill="1" applyBorder="1" applyAlignment="1">
      <alignment vertical="center" wrapText="1"/>
    </xf>
    <xf numFmtId="0" fontId="89" fillId="0" borderId="0" xfId="0" applyFont="1" applyBorder="1">
      <alignment vertical="center"/>
    </xf>
    <xf numFmtId="0" fontId="40" fillId="0" borderId="0" xfId="0" applyFont="1" applyBorder="1" applyAlignment="1">
      <alignment horizontal="justify" vertical="center"/>
    </xf>
    <xf numFmtId="0" fontId="68" fillId="0" borderId="269" xfId="0" applyFont="1" applyBorder="1" applyAlignment="1">
      <alignment horizontal="center" vertical="center" shrinkToFit="1"/>
    </xf>
    <xf numFmtId="181" fontId="62" fillId="0" borderId="12" xfId="0" applyNumberFormat="1" applyFont="1" applyBorder="1">
      <alignment vertical="center"/>
    </xf>
    <xf numFmtId="0" fontId="0" fillId="0" borderId="0" xfId="0" applyAlignment="1" applyProtection="1">
      <alignment vertical="center" shrinkToFi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49" fillId="0" borderId="17" xfId="0" applyFont="1" applyBorder="1" applyAlignment="1" applyProtection="1">
      <alignment horizontal="right" vertical="center" shrinkToFit="1"/>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Protection="1">
      <alignment vertical="center"/>
    </xf>
    <xf numFmtId="0" fontId="20" fillId="0" borderId="21" xfId="0" applyFont="1" applyFill="1" applyBorder="1" applyAlignment="1" applyProtection="1">
      <alignment horizontal="center" vertical="center"/>
    </xf>
    <xf numFmtId="0" fontId="20" fillId="0" borderId="21" xfId="0" applyFont="1" applyFill="1" applyBorder="1" applyAlignment="1" applyProtection="1">
      <alignment horizontal="left" vertical="center"/>
    </xf>
    <xf numFmtId="0" fontId="40" fillId="0" borderId="0" xfId="0" applyFont="1" applyAlignment="1">
      <alignment vertical="center"/>
    </xf>
    <xf numFmtId="0" fontId="36" fillId="0" borderId="0" xfId="8">
      <alignment vertical="center"/>
    </xf>
    <xf numFmtId="0" fontId="36" fillId="0" borderId="0" xfId="8" applyBorder="1">
      <alignment vertical="center"/>
    </xf>
    <xf numFmtId="178" fontId="0" fillId="0" borderId="0" xfId="0" applyNumberFormat="1" applyFont="1" applyAlignment="1" applyProtection="1">
      <alignment vertical="center" shrinkToFit="1"/>
    </xf>
    <xf numFmtId="178" fontId="0" fillId="0" borderId="0" xfId="0" applyNumberFormat="1" applyFont="1" applyBorder="1" applyAlignment="1" applyProtection="1">
      <alignment vertical="center" shrinkToFit="1"/>
    </xf>
    <xf numFmtId="178" fontId="0" fillId="0" borderId="0" xfId="0" applyNumberFormat="1" applyBorder="1" applyAlignment="1" applyProtection="1">
      <alignment vertical="center" shrinkToFit="1"/>
    </xf>
    <xf numFmtId="0" fontId="38" fillId="0" borderId="69" xfId="0" applyFont="1" applyBorder="1" applyAlignment="1" applyProtection="1">
      <alignment horizontal="center" vertical="center"/>
    </xf>
    <xf numFmtId="0" fontId="0" fillId="0" borderId="0" xfId="0" applyFont="1" applyAlignment="1" applyProtection="1">
      <alignment horizontal="center" vertical="center"/>
    </xf>
    <xf numFmtId="178" fontId="0" fillId="0" borderId="0" xfId="0" applyNumberFormat="1" applyFont="1" applyProtection="1">
      <alignment vertical="center"/>
    </xf>
    <xf numFmtId="0" fontId="13" fillId="0" borderId="0" xfId="0" applyFont="1" applyBorder="1" applyAlignment="1" applyProtection="1">
      <alignment vertical="center"/>
    </xf>
    <xf numFmtId="0" fontId="0" fillId="0" borderId="69" xfId="0" applyFont="1" applyBorder="1" applyAlignment="1" applyProtection="1">
      <alignment vertical="center"/>
    </xf>
    <xf numFmtId="0" fontId="14" fillId="0" borderId="69" xfId="0" applyFont="1" applyBorder="1" applyAlignment="1" applyProtection="1">
      <alignment vertical="center"/>
    </xf>
    <xf numFmtId="0" fontId="0" fillId="0" borderId="69" xfId="0" applyBorder="1" applyAlignment="1" applyProtection="1">
      <alignment vertical="center"/>
    </xf>
    <xf numFmtId="0" fontId="0" fillId="0" borderId="0"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0" xfId="0" applyFont="1" applyBorder="1" applyAlignment="1" applyProtection="1">
      <alignment vertical="center"/>
    </xf>
    <xf numFmtId="0" fontId="0" fillId="0" borderId="0" xfId="0" applyFont="1" applyBorder="1" applyProtection="1">
      <alignment vertical="center"/>
    </xf>
    <xf numFmtId="0" fontId="15" fillId="0" borderId="0" xfId="0" applyFont="1" applyBorder="1" applyAlignment="1" applyProtection="1">
      <alignment horizontal="center" vertical="center"/>
    </xf>
    <xf numFmtId="0" fontId="62" fillId="0" borderId="0" xfId="0" applyFont="1" applyBorder="1">
      <alignment vertical="center"/>
    </xf>
    <xf numFmtId="0" fontId="0" fillId="0" borderId="0" xfId="0" applyProtection="1">
      <alignment vertical="center"/>
    </xf>
    <xf numFmtId="0" fontId="55"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shrinkToFit="1"/>
    </xf>
    <xf numFmtId="0" fontId="46" fillId="0" borderId="0" xfId="0" applyFont="1" applyFill="1" applyBorder="1" applyAlignment="1" applyProtection="1">
      <alignment vertical="center" justifyLastLine="1"/>
    </xf>
    <xf numFmtId="49" fontId="40" fillId="0" borderId="0" xfId="8" applyNumberFormat="1" applyFont="1" applyBorder="1" applyAlignment="1" applyProtection="1">
      <alignment horizontal="center" vertical="center"/>
      <protection locked="0"/>
    </xf>
    <xf numFmtId="49" fontId="73" fillId="0" borderId="0" xfId="8" applyNumberFormat="1" applyFont="1" applyBorder="1" applyAlignment="1" applyProtection="1">
      <alignment horizontal="center" vertical="center"/>
      <protection locked="0"/>
    </xf>
    <xf numFmtId="0" fontId="10" fillId="0" borderId="0" xfId="8" applyFont="1" applyBorder="1" applyAlignment="1" applyProtection="1">
      <alignment vertical="center" wrapText="1" shrinkToFit="1"/>
      <protection locked="0"/>
    </xf>
    <xf numFmtId="0" fontId="9" fillId="0" borderId="0" xfId="8" applyFont="1" applyBorder="1" applyAlignment="1" applyProtection="1">
      <alignment vertical="center"/>
      <protection locked="0"/>
    </xf>
    <xf numFmtId="0" fontId="57" fillId="0" borderId="0" xfId="8" applyFont="1" applyBorder="1" applyAlignment="1" applyProtection="1">
      <alignment vertical="center" wrapText="1"/>
      <protection locked="0"/>
    </xf>
    <xf numFmtId="49" fontId="74" fillId="0" borderId="0" xfId="8" applyNumberFormat="1" applyFont="1" applyBorder="1" applyAlignment="1" applyProtection="1">
      <alignment horizontal="right" vertical="center"/>
      <protection locked="0"/>
    </xf>
    <xf numFmtId="49" fontId="73" fillId="0" borderId="0" xfId="8" applyNumberFormat="1" applyFont="1" applyBorder="1" applyAlignment="1" applyProtection="1">
      <alignment vertical="center"/>
      <protection locked="0"/>
    </xf>
    <xf numFmtId="0" fontId="0" fillId="0" borderId="0" xfId="8" applyFont="1" applyBorder="1" applyAlignment="1">
      <alignment vertical="center"/>
    </xf>
    <xf numFmtId="0" fontId="40" fillId="0" borderId="0" xfId="8" applyFont="1" applyBorder="1" applyAlignment="1">
      <alignment vertical="center"/>
    </xf>
    <xf numFmtId="0" fontId="29" fillId="0" borderId="0" xfId="8" applyFont="1" applyBorder="1" applyAlignment="1" applyProtection="1">
      <alignment vertical="center" shrinkToFit="1"/>
      <protection locked="0"/>
    </xf>
    <xf numFmtId="0" fontId="36" fillId="0" borderId="0" xfId="8" applyBorder="1" applyAlignment="1">
      <alignment vertical="center"/>
    </xf>
    <xf numFmtId="0" fontId="40" fillId="0" borderId="0" xfId="8" applyFont="1" applyFill="1" applyBorder="1" applyAlignment="1" applyProtection="1">
      <alignment vertical="center" shrinkToFit="1"/>
      <protection locked="0"/>
    </xf>
    <xf numFmtId="49" fontId="39" fillId="0" borderId="0" xfId="8" applyNumberFormat="1" applyFont="1" applyBorder="1" applyAlignment="1" applyProtection="1">
      <alignment vertical="center"/>
      <protection locked="0"/>
    </xf>
    <xf numFmtId="0" fontId="39" fillId="0" borderId="0" xfId="8" applyFont="1" applyFill="1" applyBorder="1" applyAlignment="1" applyProtection="1">
      <alignment vertical="center"/>
      <protection locked="0"/>
    </xf>
    <xf numFmtId="20" fontId="77" fillId="0" borderId="0" xfId="8" applyNumberFormat="1" applyFont="1" applyBorder="1" applyAlignment="1" applyProtection="1">
      <alignment vertical="center"/>
      <protection locked="0"/>
    </xf>
    <xf numFmtId="184" fontId="74" fillId="0" borderId="0" xfId="8" applyNumberFormat="1" applyFont="1" applyBorder="1" applyAlignment="1" applyProtection="1">
      <alignment vertical="center"/>
      <protection locked="0"/>
    </xf>
    <xf numFmtId="0" fontId="36" fillId="0" borderId="0" xfId="8" applyBorder="1" applyAlignment="1">
      <alignment horizontal="center" vertical="center"/>
    </xf>
    <xf numFmtId="0" fontId="59" fillId="0" borderId="0" xfId="8" applyFont="1" applyBorder="1">
      <alignment vertical="center"/>
    </xf>
    <xf numFmtId="0" fontId="0" fillId="0" borderId="0" xfId="8" applyFont="1">
      <alignment vertical="center"/>
    </xf>
    <xf numFmtId="0" fontId="0" fillId="0" borderId="0" xfId="0" applyFont="1" applyProtection="1">
      <alignment vertical="center"/>
      <protection locked="0"/>
    </xf>
    <xf numFmtId="0" fontId="62" fillId="0" borderId="0" xfId="0" applyFont="1" applyBorder="1" applyProtection="1">
      <alignment vertical="center"/>
      <protection locked="0"/>
    </xf>
    <xf numFmtId="49" fontId="94" fillId="4" borderId="0" xfId="0" applyNumberFormat="1" applyFont="1" applyFill="1" applyBorder="1" applyAlignment="1" applyProtection="1">
      <alignment horizontal="center" vertical="center"/>
      <protection locked="0"/>
    </xf>
    <xf numFmtId="49" fontId="94" fillId="4" borderId="0" xfId="0" applyNumberFormat="1" applyFont="1" applyFill="1" applyBorder="1" applyAlignment="1" applyProtection="1">
      <alignment vertical="center"/>
      <protection locked="0"/>
    </xf>
    <xf numFmtId="0" fontId="49" fillId="0" borderId="0" xfId="0" applyFont="1" applyBorder="1" applyAlignment="1" applyProtection="1">
      <alignment horizontal="center" vertical="center" shrinkToFit="1"/>
    </xf>
    <xf numFmtId="0" fontId="4" fillId="0" borderId="0" xfId="0" applyFont="1" applyBorder="1" applyAlignment="1" applyProtection="1">
      <alignment vertical="center"/>
    </xf>
    <xf numFmtId="0" fontId="95" fillId="0" borderId="21" xfId="0" applyFont="1" applyBorder="1" applyProtection="1">
      <alignment vertical="center"/>
    </xf>
    <xf numFmtId="0" fontId="0" fillId="0" borderId="94" xfId="0" applyFont="1" applyBorder="1" applyProtection="1">
      <alignment vertical="center"/>
    </xf>
    <xf numFmtId="0" fontId="7" fillId="0" borderId="0" xfId="0" applyNumberFormat="1" applyFont="1" applyFill="1" applyBorder="1" applyAlignment="1" applyProtection="1">
      <alignment vertical="center" shrinkToFit="1"/>
    </xf>
    <xf numFmtId="0" fontId="12" fillId="0" borderId="0" xfId="0" applyNumberFormat="1" applyFont="1" applyFill="1" applyBorder="1" applyAlignment="1" applyProtection="1">
      <alignment horizontal="center" vertical="center" shrinkToFit="1"/>
    </xf>
    <xf numFmtId="0"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right" vertical="center" shrinkToFit="1"/>
    </xf>
    <xf numFmtId="0" fontId="49" fillId="0" borderId="0" xfId="0" applyFont="1" applyFill="1" applyBorder="1" applyAlignment="1" applyProtection="1">
      <alignment vertical="center" shrinkToFit="1"/>
    </xf>
    <xf numFmtId="178" fontId="17" fillId="0" borderId="0" xfId="0" applyNumberFormat="1"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49" fillId="0" borderId="0" xfId="0" applyFont="1" applyBorder="1" applyAlignment="1" applyProtection="1">
      <alignment vertical="center" shrinkToFit="1"/>
    </xf>
    <xf numFmtId="0" fontId="0" fillId="0" borderId="0" xfId="0" applyBorder="1" applyAlignment="1" applyProtection="1">
      <alignment vertical="center" shrinkToFit="1"/>
    </xf>
    <xf numFmtId="0" fontId="12" fillId="0" borderId="0" xfId="0" applyFont="1" applyBorder="1" applyAlignment="1" applyProtection="1">
      <alignment vertical="center"/>
    </xf>
    <xf numFmtId="0" fontId="17" fillId="0" borderId="0" xfId="0" applyFont="1" applyBorder="1" applyAlignment="1" applyProtection="1">
      <alignment vertical="center" shrinkToFit="1"/>
    </xf>
    <xf numFmtId="0" fontId="12" fillId="0" borderId="0" xfId="0" applyFont="1" applyFill="1" applyBorder="1" applyAlignment="1" applyProtection="1">
      <alignment vertical="center"/>
    </xf>
    <xf numFmtId="0" fontId="0" fillId="0" borderId="0" xfId="0"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Border="1" applyAlignment="1" applyProtection="1">
      <alignment horizontal="center" vertical="center"/>
    </xf>
    <xf numFmtId="0" fontId="0" fillId="0" borderId="0" xfId="0" applyFont="1" applyBorder="1" applyProtection="1">
      <alignment vertical="center"/>
    </xf>
    <xf numFmtId="0" fontId="0" fillId="0" borderId="69" xfId="0" applyFont="1" applyBorder="1" applyAlignment="1" applyProtection="1">
      <alignment horizontal="left" vertical="center"/>
    </xf>
    <xf numFmtId="0" fontId="0" fillId="0" borderId="69" xfId="0" applyFont="1" applyBorder="1" applyAlignment="1" applyProtection="1">
      <alignment horizontal="center" vertical="center"/>
    </xf>
    <xf numFmtId="0" fontId="15" fillId="0" borderId="0" xfId="0" applyFont="1" applyBorder="1" applyAlignment="1" applyProtection="1">
      <alignment horizontal="center" vertical="center"/>
    </xf>
    <xf numFmtId="0" fontId="49" fillId="0" borderId="17" xfId="0" applyFont="1" applyBorder="1" applyAlignment="1" applyProtection="1">
      <alignment horizontal="center" vertical="center" shrinkToFit="1"/>
    </xf>
    <xf numFmtId="0" fontId="0" fillId="0" borderId="0" xfId="0" applyFont="1" applyAlignment="1" applyProtection="1">
      <alignment horizontal="center" vertical="center"/>
    </xf>
    <xf numFmtId="0" fontId="54"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0" fillId="0" borderId="0" xfId="0" applyBorder="1" applyProtection="1">
      <alignment vertical="center"/>
    </xf>
    <xf numFmtId="0" fontId="54" fillId="0" borderId="0" xfId="0" applyFont="1" applyFill="1" applyBorder="1" applyAlignment="1" applyProtection="1">
      <alignment vertical="center" shrinkToFit="1"/>
    </xf>
    <xf numFmtId="0" fontId="45" fillId="0" borderId="0" xfId="0" applyFont="1" applyFill="1" applyBorder="1" applyAlignment="1" applyProtection="1">
      <alignment vertical="center" justifyLastLine="1"/>
    </xf>
    <xf numFmtId="0" fontId="50" fillId="0" borderId="0" xfId="0" applyFont="1" applyBorder="1" applyAlignment="1" applyProtection="1">
      <alignment vertical="center"/>
    </xf>
    <xf numFmtId="0" fontId="45" fillId="0" borderId="0" xfId="0" applyFont="1" applyFill="1" applyBorder="1" applyAlignment="1" applyProtection="1">
      <alignment vertical="center" wrapText="1" justifyLastLine="1"/>
    </xf>
    <xf numFmtId="178" fontId="42" fillId="0" borderId="0" xfId="0" applyNumberFormat="1" applyFont="1" applyFill="1" applyBorder="1" applyAlignment="1" applyProtection="1">
      <alignment vertical="center" shrinkToFit="1"/>
    </xf>
    <xf numFmtId="0" fontId="53" fillId="0" borderId="0" xfId="0" applyFont="1" applyFill="1" applyBorder="1" applyAlignment="1" applyProtection="1">
      <alignment vertical="center" textRotation="255" wrapText="1"/>
    </xf>
    <xf numFmtId="0" fontId="15" fillId="0" borderId="0" xfId="0" applyFont="1" applyBorder="1" applyAlignment="1" applyProtection="1">
      <alignment horizontal="center" vertical="center"/>
    </xf>
    <xf numFmtId="0" fontId="101" fillId="0" borderId="69" xfId="0" applyFont="1" applyBorder="1" applyAlignment="1" applyProtection="1">
      <alignment horizontal="left" vertical="center"/>
    </xf>
    <xf numFmtId="0" fontId="101" fillId="0" borderId="69" xfId="0" applyFont="1" applyBorder="1" applyAlignment="1" applyProtection="1">
      <alignment horizontal="center" vertical="center"/>
    </xf>
    <xf numFmtId="0" fontId="104" fillId="0" borderId="0" xfId="0" applyFont="1" applyBorder="1" applyAlignment="1" applyProtection="1">
      <alignment horizontal="center" vertical="center"/>
    </xf>
    <xf numFmtId="0" fontId="101" fillId="0" borderId="69" xfId="0" applyFont="1" applyBorder="1" applyAlignment="1" applyProtection="1">
      <alignment horizontal="center" vertical="center"/>
    </xf>
    <xf numFmtId="0" fontId="101" fillId="0" borderId="0" xfId="0" applyFont="1" applyBorder="1" applyAlignment="1" applyProtection="1">
      <alignment vertical="center"/>
    </xf>
    <xf numFmtId="0" fontId="101" fillId="0" borderId="69" xfId="0" applyFont="1" applyBorder="1" applyAlignment="1" applyProtection="1">
      <alignment vertical="center"/>
    </xf>
    <xf numFmtId="0" fontId="107" fillId="0" borderId="69" xfId="0" applyFont="1" applyBorder="1" applyAlignment="1" applyProtection="1">
      <alignment horizontal="center" vertical="center"/>
      <protection locked="0"/>
    </xf>
    <xf numFmtId="190" fontId="46" fillId="0" borderId="0" xfId="0" applyNumberFormat="1" applyFont="1" applyProtection="1">
      <alignment vertical="center"/>
      <protection hidden="1"/>
    </xf>
    <xf numFmtId="0" fontId="37" fillId="0" borderId="0" xfId="0" applyFont="1" applyAlignment="1" applyProtection="1">
      <alignment horizontal="center" vertical="center"/>
    </xf>
    <xf numFmtId="0" fontId="107" fillId="0" borderId="69" xfId="0" applyFont="1" applyBorder="1" applyAlignment="1" applyProtection="1">
      <alignment horizontal="right" vertical="center"/>
      <protection locked="0"/>
    </xf>
    <xf numFmtId="0" fontId="107" fillId="0" borderId="69" xfId="0" applyFont="1" applyBorder="1" applyAlignment="1" applyProtection="1">
      <alignment vertical="center"/>
      <protection locked="0"/>
    </xf>
    <xf numFmtId="190" fontId="107" fillId="0" borderId="69" xfId="0" applyNumberFormat="1" applyFont="1" applyBorder="1" applyAlignment="1" applyProtection="1">
      <alignment horizontal="center" vertical="center"/>
      <protection locked="0"/>
    </xf>
    <xf numFmtId="0" fontId="101" fillId="0" borderId="17" xfId="0" applyFont="1" applyBorder="1" applyAlignment="1" applyProtection="1">
      <alignment horizontal="center" vertical="center" shrinkToFit="1"/>
    </xf>
    <xf numFmtId="0" fontId="110" fillId="4" borderId="3" xfId="0" applyNumberFormat="1" applyFont="1" applyFill="1" applyBorder="1" applyAlignment="1" applyProtection="1">
      <alignment horizontal="center" vertical="center" shrinkToFit="1"/>
    </xf>
    <xf numFmtId="0" fontId="110" fillId="4" borderId="53" xfId="0" applyNumberFormat="1" applyFont="1" applyFill="1" applyBorder="1" applyAlignment="1" applyProtection="1">
      <alignment horizontal="center" vertical="center" shrinkToFit="1"/>
    </xf>
    <xf numFmtId="0" fontId="110" fillId="4" borderId="82" xfId="0" applyNumberFormat="1" applyFont="1" applyFill="1" applyBorder="1" applyAlignment="1" applyProtection="1">
      <alignment horizontal="center" vertical="center" shrinkToFit="1"/>
    </xf>
    <xf numFmtId="0" fontId="112" fillId="0" borderId="0" xfId="0" applyFont="1" applyBorder="1" applyAlignment="1">
      <alignment vertical="center"/>
    </xf>
    <xf numFmtId="0" fontId="111" fillId="0" borderId="0" xfId="0" applyFont="1" applyBorder="1" applyAlignment="1">
      <alignment vertical="center"/>
    </xf>
    <xf numFmtId="0" fontId="116" fillId="0" borderId="0" xfId="0" applyFont="1" applyFill="1" applyBorder="1" applyAlignment="1" applyProtection="1">
      <alignment horizontal="center" vertical="center"/>
    </xf>
    <xf numFmtId="0" fontId="117" fillId="0" borderId="0" xfId="0" applyFont="1" applyAlignment="1" applyProtection="1">
      <alignment horizontal="center" vertical="center"/>
    </xf>
    <xf numFmtId="49" fontId="113" fillId="0" borderId="8" xfId="0" applyNumberFormat="1" applyFont="1" applyBorder="1" applyAlignment="1" applyProtection="1">
      <alignment vertical="center"/>
    </xf>
    <xf numFmtId="0" fontId="101" fillId="0" borderId="0" xfId="0" applyFont="1">
      <alignment vertical="center"/>
    </xf>
    <xf numFmtId="49" fontId="113" fillId="0" borderId="8" xfId="0" applyNumberFormat="1" applyFont="1" applyBorder="1" applyAlignment="1" applyProtection="1">
      <alignment horizontal="center" vertical="center"/>
    </xf>
    <xf numFmtId="49" fontId="116" fillId="0" borderId="8" xfId="0" applyNumberFormat="1" applyFont="1" applyBorder="1" applyAlignment="1" applyProtection="1">
      <alignment vertical="center"/>
    </xf>
    <xf numFmtId="49" fontId="118" fillId="4" borderId="8" xfId="0" applyNumberFormat="1" applyFont="1" applyFill="1" applyBorder="1" applyAlignment="1" applyProtection="1">
      <alignment horizontal="center" vertical="center"/>
    </xf>
    <xf numFmtId="49" fontId="118" fillId="4" borderId="8" xfId="0" applyNumberFormat="1" applyFont="1" applyFill="1" applyBorder="1" applyAlignment="1" applyProtection="1">
      <alignment vertical="center"/>
    </xf>
    <xf numFmtId="49" fontId="116" fillId="0" borderId="7" xfId="0" applyNumberFormat="1" applyFont="1" applyBorder="1" applyAlignment="1">
      <alignment horizontal="center" vertical="center"/>
    </xf>
    <xf numFmtId="49" fontId="120" fillId="0" borderId="6" xfId="0" applyNumberFormat="1" applyFont="1" applyBorder="1" applyAlignment="1">
      <alignment horizontal="center" vertical="center"/>
    </xf>
    <xf numFmtId="49" fontId="120" fillId="0" borderId="5" xfId="0" applyNumberFormat="1" applyFont="1" applyBorder="1" applyAlignment="1">
      <alignment horizontal="center" vertical="center"/>
    </xf>
    <xf numFmtId="0" fontId="121" fillId="0" borderId="4" xfId="0" applyFont="1" applyBorder="1" applyAlignment="1" applyProtection="1">
      <alignment horizontal="center" vertical="center"/>
    </xf>
    <xf numFmtId="0" fontId="121" fillId="0" borderId="3" xfId="0" applyFont="1" applyBorder="1" applyAlignment="1" applyProtection="1">
      <alignment horizontal="center" vertical="center"/>
    </xf>
    <xf numFmtId="0" fontId="122" fillId="0" borderId="0" xfId="0" applyFont="1" applyBorder="1" applyAlignment="1">
      <alignment horizontal="center" vertical="center"/>
    </xf>
    <xf numFmtId="0" fontId="122" fillId="0" borderId="0" xfId="0" applyFont="1" applyBorder="1">
      <alignment vertical="center"/>
    </xf>
    <xf numFmtId="0" fontId="113" fillId="0" borderId="0" xfId="0" applyFont="1" applyBorder="1" applyAlignment="1">
      <alignment vertical="center" wrapText="1"/>
    </xf>
    <xf numFmtId="0" fontId="121" fillId="0" borderId="0" xfId="0" applyFont="1" applyBorder="1" applyAlignment="1" applyProtection="1">
      <alignment horizontal="center" vertical="center" wrapText="1"/>
    </xf>
    <xf numFmtId="49" fontId="116" fillId="0" borderId="7" xfId="0" applyNumberFormat="1" applyFont="1" applyBorder="1" applyAlignment="1" applyProtection="1">
      <alignment horizontal="center" vertical="center"/>
    </xf>
    <xf numFmtId="49" fontId="116" fillId="0" borderId="6" xfId="0" applyNumberFormat="1" applyFont="1" applyBorder="1" applyAlignment="1" applyProtection="1">
      <alignment vertical="center"/>
    </xf>
    <xf numFmtId="49" fontId="120" fillId="0" borderId="6" xfId="0" applyNumberFormat="1" applyFont="1" applyBorder="1" applyAlignment="1" applyProtection="1">
      <alignment horizontal="center" vertical="center"/>
    </xf>
    <xf numFmtId="49" fontId="120" fillId="0" borderId="5" xfId="0" applyNumberFormat="1" applyFont="1" applyBorder="1" applyAlignment="1" applyProtection="1">
      <alignment horizontal="center" vertical="center"/>
    </xf>
    <xf numFmtId="0" fontId="121" fillId="0" borderId="0" xfId="0" applyFont="1" applyBorder="1" applyAlignment="1" applyProtection="1">
      <alignment vertical="center"/>
    </xf>
    <xf numFmtId="0" fontId="121" fillId="0" borderId="2" xfId="0" applyFont="1" applyBorder="1" applyAlignment="1" applyProtection="1">
      <alignment vertical="center"/>
    </xf>
    <xf numFmtId="0" fontId="122" fillId="0" borderId="0" xfId="0" applyFont="1" applyBorder="1" applyAlignment="1" applyProtection="1">
      <alignment horizontal="center" vertical="center"/>
    </xf>
    <xf numFmtId="0" fontId="122" fillId="0" borderId="0" xfId="0" applyFont="1" applyBorder="1" applyProtection="1">
      <alignment vertical="center"/>
    </xf>
    <xf numFmtId="0" fontId="113" fillId="0" borderId="0" xfId="0" applyFont="1" applyBorder="1" applyAlignment="1" applyProtection="1">
      <alignment vertical="center" wrapText="1"/>
    </xf>
    <xf numFmtId="0" fontId="123" fillId="0" borderId="0" xfId="0" applyFont="1" applyBorder="1" applyAlignment="1" applyProtection="1">
      <alignment vertical="center" wrapText="1"/>
    </xf>
    <xf numFmtId="0" fontId="124" fillId="0" borderId="2" xfId="0" applyFont="1" applyBorder="1" applyAlignment="1" applyProtection="1">
      <alignment vertical="center"/>
      <protection locked="0"/>
    </xf>
    <xf numFmtId="0" fontId="101" fillId="0" borderId="2" xfId="0" applyFont="1" applyBorder="1" applyAlignment="1" applyProtection="1">
      <alignment horizontal="center" vertical="center"/>
    </xf>
    <xf numFmtId="0" fontId="124" fillId="0" borderId="2" xfId="0" applyFont="1" applyBorder="1" applyAlignment="1" applyProtection="1">
      <alignment horizontal="left" vertical="center"/>
      <protection locked="0"/>
    </xf>
    <xf numFmtId="0" fontId="101" fillId="0" borderId="0" xfId="0" applyFont="1" applyBorder="1" applyAlignment="1" applyProtection="1">
      <alignment vertical="center" wrapText="1"/>
    </xf>
    <xf numFmtId="0" fontId="101" fillId="0" borderId="13" xfId="0" applyFont="1" applyBorder="1" applyAlignment="1" applyProtection="1">
      <alignment vertical="center" wrapText="1"/>
    </xf>
    <xf numFmtId="0" fontId="125" fillId="0" borderId="0" xfId="0" applyFont="1" applyBorder="1" applyAlignment="1" applyProtection="1">
      <alignment vertical="center"/>
    </xf>
    <xf numFmtId="0" fontId="126" fillId="0" borderId="0" xfId="0" applyFont="1" applyBorder="1" applyAlignment="1" applyProtection="1">
      <alignment vertical="center"/>
    </xf>
    <xf numFmtId="0" fontId="123" fillId="0" borderId="0" xfId="0" applyFont="1" applyBorder="1" applyAlignment="1" applyProtection="1">
      <alignment vertical="center"/>
    </xf>
    <xf numFmtId="0" fontId="101" fillId="0" borderId="0" xfId="0" applyFont="1" applyBorder="1" applyAlignment="1" applyProtection="1">
      <alignment horizontal="center" vertical="center"/>
    </xf>
    <xf numFmtId="178" fontId="124" fillId="0" borderId="0" xfId="0" applyNumberFormat="1" applyFont="1" applyBorder="1" applyAlignment="1" applyProtection="1">
      <alignment horizontal="center" vertical="center"/>
    </xf>
    <xf numFmtId="0" fontId="124" fillId="0" borderId="2" xfId="0" applyFont="1" applyBorder="1" applyAlignment="1" applyProtection="1">
      <alignment horizontal="center" vertical="center"/>
    </xf>
    <xf numFmtId="0" fontId="101" fillId="0" borderId="2" xfId="0" applyFont="1" applyBorder="1" applyAlignment="1" applyProtection="1">
      <alignment vertical="center"/>
    </xf>
    <xf numFmtId="0" fontId="117" fillId="0" borderId="10" xfId="0" applyFont="1" applyBorder="1" applyAlignment="1" applyProtection="1">
      <alignment horizontal="center" vertical="center"/>
    </xf>
    <xf numFmtId="0" fontId="101" fillId="0" borderId="10" xfId="0" applyFont="1" applyBorder="1" applyAlignment="1" applyProtection="1">
      <alignment horizontal="center" vertical="center"/>
    </xf>
    <xf numFmtId="0" fontId="101" fillId="0" borderId="10" xfId="0" applyFont="1" applyBorder="1" applyAlignment="1" applyProtection="1">
      <alignment vertical="center"/>
    </xf>
    <xf numFmtId="0" fontId="101" fillId="0" borderId="10" xfId="0" applyFont="1" applyBorder="1" applyAlignment="1" applyProtection="1">
      <alignment horizontal="left" vertical="center"/>
    </xf>
    <xf numFmtId="0" fontId="101" fillId="0" borderId="0" xfId="0" applyFont="1" applyProtection="1">
      <alignment vertical="center"/>
    </xf>
    <xf numFmtId="0" fontId="123" fillId="0" borderId="0" xfId="0" applyFont="1" applyBorder="1" applyAlignment="1">
      <alignment vertical="center" wrapText="1"/>
    </xf>
    <xf numFmtId="0" fontId="101" fillId="0" borderId="0" xfId="0" applyFont="1" applyBorder="1" applyAlignment="1">
      <alignment vertical="center"/>
    </xf>
    <xf numFmtId="0" fontId="124" fillId="0" borderId="2" xfId="0" applyFont="1" applyBorder="1" applyAlignment="1">
      <alignment vertical="center"/>
    </xf>
    <xf numFmtId="0" fontId="101" fillId="0" borderId="2" xfId="0" applyFont="1" applyBorder="1" applyAlignment="1">
      <alignment horizontal="center" vertical="center"/>
    </xf>
    <xf numFmtId="0" fontId="124" fillId="0" borderId="2" xfId="0" applyFont="1" applyBorder="1" applyAlignment="1">
      <alignment horizontal="left" vertical="center"/>
    </xf>
    <xf numFmtId="0" fontId="101" fillId="0" borderId="0" xfId="0" applyFont="1" applyBorder="1" applyAlignment="1">
      <alignment vertical="center" wrapText="1"/>
    </xf>
    <xf numFmtId="0" fontId="101" fillId="0" borderId="13" xfId="0" applyFont="1" applyBorder="1" applyAlignment="1">
      <alignment vertical="center" wrapText="1"/>
    </xf>
    <xf numFmtId="0" fontId="124" fillId="0" borderId="0" xfId="0" applyFont="1" applyBorder="1" applyAlignment="1">
      <alignment vertical="center"/>
    </xf>
    <xf numFmtId="0" fontId="101" fillId="0" borderId="0" xfId="0" applyFont="1" applyBorder="1" applyAlignment="1">
      <alignment horizontal="center" vertical="center"/>
    </xf>
    <xf numFmtId="0" fontId="124" fillId="0" borderId="0" xfId="0" applyFont="1" applyBorder="1" applyAlignment="1">
      <alignment horizontal="left" vertical="center"/>
    </xf>
    <xf numFmtId="0" fontId="117" fillId="0" borderId="2" xfId="0" applyFont="1" applyBorder="1" applyAlignment="1">
      <alignment vertical="center"/>
    </xf>
    <xf numFmtId="0" fontId="125" fillId="0" borderId="0" xfId="0" applyFont="1" applyBorder="1" applyAlignment="1">
      <alignment vertical="center"/>
    </xf>
    <xf numFmtId="0" fontId="126" fillId="0" borderId="0" xfId="0" applyFont="1" applyBorder="1" applyAlignment="1">
      <alignment vertical="center"/>
    </xf>
    <xf numFmtId="0" fontId="123" fillId="0" borderId="0" xfId="0" applyFont="1" applyBorder="1" applyAlignment="1">
      <alignment vertical="center"/>
    </xf>
    <xf numFmtId="49" fontId="124" fillId="0" borderId="0" xfId="0" applyNumberFormat="1" applyFont="1" applyBorder="1" applyAlignment="1">
      <alignment horizontal="center" vertical="center"/>
    </xf>
    <xf numFmtId="0" fontId="101" fillId="0" borderId="2" xfId="0" applyFont="1" applyBorder="1" applyAlignment="1">
      <alignment vertical="center"/>
    </xf>
    <xf numFmtId="0" fontId="124" fillId="0" borderId="2" xfId="0" applyFont="1" applyBorder="1" applyAlignment="1">
      <alignment horizontal="center" vertical="center"/>
    </xf>
    <xf numFmtId="0" fontId="117" fillId="0" borderId="10" xfId="0" applyFont="1" applyBorder="1" applyAlignment="1">
      <alignment horizontal="center" vertical="center"/>
    </xf>
    <xf numFmtId="0" fontId="101" fillId="0" borderId="10" xfId="0" applyFont="1" applyBorder="1" applyAlignment="1">
      <alignment horizontal="center" vertical="center"/>
    </xf>
    <xf numFmtId="0" fontId="101" fillId="0" borderId="10" xfId="0" applyFont="1" applyBorder="1" applyAlignment="1">
      <alignment vertical="center"/>
    </xf>
    <xf numFmtId="0" fontId="101" fillId="0" borderId="10" xfId="0" applyFont="1" applyBorder="1" applyAlignment="1">
      <alignment horizontal="left" vertical="center"/>
    </xf>
    <xf numFmtId="0" fontId="46" fillId="0" borderId="0" xfId="0" applyFont="1" applyAlignment="1">
      <alignment vertical="center"/>
    </xf>
    <xf numFmtId="0" fontId="46" fillId="0" borderId="0" xfId="0" applyFont="1" applyAlignment="1">
      <alignment horizontal="left" vertical="center"/>
    </xf>
    <xf numFmtId="0" fontId="124" fillId="0" borderId="0" xfId="0" applyFont="1" applyBorder="1" applyAlignment="1">
      <alignment horizontal="center" vertical="center" shrinkToFit="1"/>
    </xf>
    <xf numFmtId="0" fontId="109" fillId="0" borderId="0" xfId="0" applyFont="1" applyBorder="1" applyAlignment="1">
      <alignment vertical="center"/>
    </xf>
    <xf numFmtId="0" fontId="134" fillId="0" borderId="0" xfId="0" applyFont="1" applyBorder="1" applyAlignment="1">
      <alignment vertical="center"/>
    </xf>
    <xf numFmtId="0" fontId="111" fillId="0" borderId="0" xfId="0" applyFont="1" applyBorder="1" applyAlignment="1">
      <alignment horizontal="center" vertical="center"/>
    </xf>
    <xf numFmtId="178" fontId="131" fillId="0" borderId="0" xfId="0" applyNumberFormat="1" applyFont="1" applyBorder="1" applyAlignment="1">
      <alignment horizontal="center" vertical="center"/>
    </xf>
    <xf numFmtId="0" fontId="121" fillId="0" borderId="2" xfId="0" applyFont="1" applyBorder="1" applyAlignment="1">
      <alignment horizontal="center" vertical="center"/>
    </xf>
    <xf numFmtId="0" fontId="131" fillId="0" borderId="0" xfId="0" applyFont="1" applyBorder="1" applyAlignment="1">
      <alignment horizontal="center" vertical="center"/>
    </xf>
    <xf numFmtId="0" fontId="117" fillId="0" borderId="10" xfId="0" applyFont="1" applyBorder="1" applyAlignment="1">
      <alignment vertical="center"/>
    </xf>
    <xf numFmtId="0" fontId="117" fillId="0" borderId="0" xfId="0" applyFont="1" applyBorder="1" applyAlignment="1">
      <alignment vertical="center"/>
    </xf>
    <xf numFmtId="0" fontId="101" fillId="0" borderId="21" xfId="0" applyFont="1" applyBorder="1">
      <alignment vertical="center"/>
    </xf>
    <xf numFmtId="0" fontId="135" fillId="0" borderId="22" xfId="0" applyFont="1" applyBorder="1" applyAlignment="1" applyProtection="1">
      <alignment horizontal="center" vertical="center"/>
      <protection locked="0"/>
    </xf>
    <xf numFmtId="0" fontId="135" fillId="0" borderId="23" xfId="0" applyFont="1" applyBorder="1" applyAlignment="1" applyProtection="1">
      <alignment horizontal="center" vertical="center"/>
      <protection locked="0"/>
    </xf>
    <xf numFmtId="0" fontId="135" fillId="0" borderId="21" xfId="0" applyFont="1" applyBorder="1" applyAlignment="1" applyProtection="1">
      <alignment horizontal="center" vertical="center"/>
      <protection locked="0"/>
    </xf>
    <xf numFmtId="0" fontId="101" fillId="0" borderId="53" xfId="0" applyFont="1" applyBorder="1">
      <alignment vertical="center"/>
    </xf>
    <xf numFmtId="0" fontId="101" fillId="0" borderId="24" xfId="0" applyFont="1" applyBorder="1">
      <alignment vertical="center"/>
    </xf>
    <xf numFmtId="0" fontId="129" fillId="0" borderId="0" xfId="0" applyFont="1" applyBorder="1">
      <alignment vertical="center"/>
    </xf>
    <xf numFmtId="49" fontId="135" fillId="0" borderId="0" xfId="0" applyNumberFormat="1" applyFont="1" applyBorder="1" applyAlignment="1">
      <alignment horizontal="center" vertical="center"/>
    </xf>
    <xf numFmtId="0" fontId="135" fillId="0" borderId="0" xfId="0" applyFont="1" applyBorder="1" applyAlignment="1">
      <alignment horizontal="center" vertical="center"/>
    </xf>
    <xf numFmtId="0" fontId="135" fillId="0" borderId="0" xfId="0" applyFont="1" applyBorder="1" applyAlignment="1">
      <alignment horizontal="center" vertical="center" shrinkToFit="1"/>
    </xf>
    <xf numFmtId="0" fontId="101" fillId="0" borderId="0" xfId="0" applyFont="1" applyBorder="1">
      <alignment vertical="center"/>
    </xf>
    <xf numFmtId="0" fontId="101" fillId="0" borderId="17" xfId="0" applyFont="1" applyBorder="1" applyAlignment="1">
      <alignment horizontal="center" vertical="center" textRotation="255"/>
    </xf>
    <xf numFmtId="0" fontId="122" fillId="0" borderId="0" xfId="0" applyFont="1" applyBorder="1" applyAlignment="1">
      <alignment vertical="center"/>
    </xf>
    <xf numFmtId="49" fontId="101" fillId="0" borderId="0" xfId="0" applyNumberFormat="1" applyFont="1" applyBorder="1" applyAlignment="1">
      <alignment vertical="center"/>
    </xf>
    <xf numFmtId="0" fontId="124" fillId="0" borderId="0" xfId="0" applyFont="1" applyBorder="1" applyAlignment="1">
      <alignment wrapText="1"/>
    </xf>
    <xf numFmtId="0" fontId="139" fillId="0" borderId="0" xfId="0" applyFont="1" applyBorder="1" applyAlignment="1">
      <alignment horizontal="center" vertical="center"/>
    </xf>
    <xf numFmtId="0" fontId="101" fillId="0" borderId="0" xfId="0" applyFont="1" applyBorder="1" applyAlignment="1">
      <alignment vertical="center" textRotation="255"/>
    </xf>
    <xf numFmtId="0" fontId="124" fillId="0" borderId="0" xfId="0" applyFont="1" applyBorder="1" applyAlignment="1">
      <alignment horizontal="center" vertical="center"/>
    </xf>
    <xf numFmtId="0" fontId="131" fillId="0" borderId="2" xfId="0" applyFont="1" applyBorder="1" applyAlignment="1">
      <alignment horizontal="center" vertical="center"/>
    </xf>
    <xf numFmtId="0" fontId="143" fillId="0" borderId="35" xfId="0" applyFont="1" applyFill="1" applyBorder="1" applyAlignment="1" applyProtection="1">
      <alignment horizontal="center" vertical="center"/>
    </xf>
    <xf numFmtId="178" fontId="143" fillId="0" borderId="35" xfId="0" applyNumberFormat="1" applyFont="1" applyFill="1" applyBorder="1" applyAlignment="1" applyProtection="1">
      <alignment horizontal="right" vertical="center"/>
    </xf>
    <xf numFmtId="0" fontId="143" fillId="0" borderId="35" xfId="0" applyFont="1" applyFill="1" applyBorder="1" applyAlignment="1" applyProtection="1">
      <alignment horizontal="right" vertical="center"/>
    </xf>
    <xf numFmtId="178" fontId="143" fillId="0" borderId="36" xfId="0" applyNumberFormat="1" applyFont="1" applyFill="1" applyBorder="1" applyAlignment="1" applyProtection="1">
      <alignment horizontal="center" vertical="center"/>
    </xf>
    <xf numFmtId="178" fontId="143" fillId="0" borderId="35" xfId="0" applyNumberFormat="1" applyFont="1" applyFill="1" applyBorder="1" applyAlignment="1" applyProtection="1">
      <alignment horizontal="center" vertical="center"/>
    </xf>
    <xf numFmtId="38" fontId="143" fillId="0" borderId="37" xfId="3" applyFont="1" applyFill="1" applyBorder="1" applyAlignment="1" applyProtection="1">
      <alignment horizontal="center" vertical="center"/>
    </xf>
    <xf numFmtId="38" fontId="118" fillId="0" borderId="0" xfId="3" applyFont="1" applyFill="1" applyBorder="1" applyAlignment="1" applyProtection="1">
      <alignment horizontal="center"/>
      <protection locked="0"/>
    </xf>
    <xf numFmtId="6" fontId="148" fillId="0" borderId="0" xfId="6" applyFont="1" applyFill="1" applyBorder="1" applyAlignment="1" applyProtection="1">
      <alignment vertical="top" wrapText="1"/>
      <protection locked="0"/>
    </xf>
    <xf numFmtId="0" fontId="129" fillId="0" borderId="34" xfId="0" applyFont="1" applyFill="1" applyBorder="1" applyAlignment="1" applyProtection="1">
      <alignment horizontal="center" vertical="center"/>
    </xf>
    <xf numFmtId="0" fontId="129" fillId="0" borderId="21" xfId="0" applyFont="1" applyFill="1" applyBorder="1" applyAlignment="1" applyProtection="1">
      <alignment horizontal="center" vertical="center" wrapText="1" shrinkToFit="1"/>
    </xf>
    <xf numFmtId="0" fontId="129" fillId="0" borderId="53" xfId="0" applyFont="1" applyFill="1" applyBorder="1" applyAlignment="1" applyProtection="1">
      <alignment horizontal="center" vertical="center" wrapText="1" shrinkToFit="1"/>
    </xf>
    <xf numFmtId="0" fontId="129" fillId="0" borderId="21" xfId="0" applyFont="1" applyFill="1" applyBorder="1" applyAlignment="1" applyProtection="1">
      <alignment horizontal="center" vertical="center" wrapText="1"/>
    </xf>
    <xf numFmtId="0" fontId="129" fillId="0" borderId="39" xfId="0" applyFont="1" applyFill="1" applyBorder="1" applyAlignment="1" applyProtection="1">
      <alignment horizontal="center" vertical="center"/>
    </xf>
    <xf numFmtId="189" fontId="115" fillId="0" borderId="30" xfId="0" applyNumberFormat="1" applyFont="1" applyFill="1" applyBorder="1" applyAlignment="1" applyProtection="1">
      <alignment horizontal="center" vertical="center" shrinkToFit="1"/>
    </xf>
    <xf numFmtId="38" fontId="151" fillId="0" borderId="13" xfId="2" applyFont="1" applyFill="1" applyBorder="1" applyAlignment="1" applyProtection="1">
      <alignment horizontal="right" vertical="center" shrinkToFit="1"/>
    </xf>
    <xf numFmtId="189" fontId="115" fillId="0" borderId="31" xfId="3" applyNumberFormat="1" applyFont="1" applyFill="1" applyBorder="1" applyAlignment="1" applyProtection="1">
      <alignment horizontal="center" vertical="center" shrinkToFit="1"/>
    </xf>
    <xf numFmtId="38" fontId="116" fillId="0" borderId="32" xfId="3" applyFont="1" applyFill="1" applyBorder="1" applyAlignment="1" applyProtection="1">
      <alignment horizontal="right" vertical="center" shrinkToFit="1"/>
    </xf>
    <xf numFmtId="189" fontId="115" fillId="0" borderId="32" xfId="3" applyNumberFormat="1" applyFont="1" applyFill="1" applyBorder="1" applyAlignment="1" applyProtection="1">
      <alignment horizontal="center" vertical="center" shrinkToFit="1"/>
    </xf>
    <xf numFmtId="180" fontId="111" fillId="0" borderId="28" xfId="0" applyNumberFormat="1" applyFont="1" applyFill="1" applyBorder="1" applyAlignment="1" applyProtection="1">
      <alignment horizontal="center" vertical="center" shrinkToFit="1"/>
      <protection locked="0"/>
    </xf>
    <xf numFmtId="38" fontId="151" fillId="0" borderId="3" xfId="2" applyFont="1" applyFill="1" applyBorder="1" applyAlignment="1" applyProtection="1">
      <alignment horizontal="right" vertical="center" shrinkToFit="1"/>
    </xf>
    <xf numFmtId="178" fontId="113" fillId="0" borderId="34" xfId="0" applyNumberFormat="1" applyFont="1" applyFill="1" applyBorder="1" applyAlignment="1" applyProtection="1">
      <alignment horizontal="center" vertical="center" shrinkToFit="1"/>
    </xf>
    <xf numFmtId="178" fontId="120" fillId="0" borderId="21" xfId="0" applyNumberFormat="1" applyFont="1" applyFill="1" applyBorder="1" applyAlignment="1" applyProtection="1">
      <alignment horizontal="center" vertical="center" wrapText="1" shrinkToFit="1"/>
    </xf>
    <xf numFmtId="178" fontId="120" fillId="0" borderId="53" xfId="0" applyNumberFormat="1" applyFont="1" applyFill="1" applyBorder="1" applyAlignment="1" applyProtection="1">
      <alignment horizontal="center" vertical="center" wrapText="1" shrinkToFit="1"/>
    </xf>
    <xf numFmtId="178" fontId="116" fillId="0" borderId="34" xfId="3" applyNumberFormat="1" applyFont="1" applyFill="1" applyBorder="1" applyAlignment="1" applyProtection="1">
      <alignment horizontal="center" vertical="center" shrinkToFit="1"/>
    </xf>
    <xf numFmtId="178" fontId="120" fillId="0" borderId="15" xfId="0" applyNumberFormat="1" applyFont="1" applyFill="1" applyBorder="1" applyAlignment="1" applyProtection="1">
      <alignment vertical="center" textRotation="255" shrinkToFit="1"/>
    </xf>
    <xf numFmtId="178" fontId="120" fillId="0" borderId="34" xfId="0" applyNumberFormat="1" applyFont="1" applyFill="1" applyBorder="1" applyAlignment="1" applyProtection="1">
      <alignment vertical="center" textRotation="255" shrinkToFit="1"/>
    </xf>
    <xf numFmtId="178" fontId="113" fillId="0" borderId="38" xfId="0" applyNumberFormat="1" applyFont="1" applyFill="1" applyBorder="1" applyAlignment="1" applyProtection="1">
      <alignment horizontal="center" vertical="center" shrinkToFit="1"/>
    </xf>
    <xf numFmtId="178" fontId="120" fillId="0" borderId="246" xfId="0" applyNumberFormat="1" applyFont="1" applyFill="1" applyBorder="1" applyAlignment="1" applyProtection="1">
      <alignment horizontal="center" vertical="center" shrinkToFit="1"/>
    </xf>
    <xf numFmtId="178" fontId="120" fillId="0" borderId="57" xfId="0" applyNumberFormat="1" applyFont="1" applyFill="1" applyBorder="1" applyAlignment="1" applyProtection="1">
      <alignment horizontal="center" vertical="center" shrinkToFit="1"/>
    </xf>
    <xf numFmtId="178" fontId="113" fillId="0" borderId="39" xfId="3" applyNumberFormat="1" applyFont="1" applyFill="1" applyBorder="1" applyAlignment="1" applyProtection="1">
      <alignment horizontal="center" vertical="center" shrinkToFit="1"/>
    </xf>
    <xf numFmtId="178" fontId="116" fillId="0" borderId="233" xfId="0" applyNumberFormat="1" applyFont="1" applyFill="1" applyBorder="1" applyAlignment="1" applyProtection="1">
      <alignment vertical="center" shrinkToFit="1"/>
    </xf>
    <xf numFmtId="178" fontId="116" fillId="0" borderId="233" xfId="0" applyNumberFormat="1" applyFont="1" applyFill="1" applyBorder="1" applyAlignment="1" applyProtection="1">
      <alignment horizontal="center" vertical="center" shrinkToFit="1"/>
    </xf>
    <xf numFmtId="178" fontId="116" fillId="0" borderId="34" xfId="3" applyNumberFormat="1" applyFont="1" applyFill="1" applyBorder="1" applyAlignment="1" applyProtection="1">
      <alignment vertical="center" shrinkToFit="1"/>
    </xf>
    <xf numFmtId="176" fontId="115" fillId="0" borderId="25" xfId="0" applyNumberFormat="1" applyFont="1" applyFill="1" applyBorder="1" applyAlignment="1" applyProtection="1">
      <alignment horizontal="center" vertical="center" shrinkToFit="1"/>
    </xf>
    <xf numFmtId="176" fontId="111" fillId="0" borderId="41" xfId="0" applyNumberFormat="1" applyFont="1" applyFill="1" applyBorder="1" applyAlignment="1" applyProtection="1">
      <alignment horizontal="center" vertical="center" shrinkToFit="1"/>
      <protection locked="0"/>
    </xf>
    <xf numFmtId="176" fontId="111" fillId="0" borderId="42" xfId="0" applyNumberFormat="1" applyFont="1" applyFill="1" applyBorder="1" applyAlignment="1" applyProtection="1">
      <alignment horizontal="center" vertical="center" shrinkToFit="1"/>
      <protection locked="0"/>
    </xf>
    <xf numFmtId="178" fontId="116" fillId="0" borderId="75" xfId="0" applyNumberFormat="1" applyFont="1" applyFill="1" applyBorder="1" applyAlignment="1" applyProtection="1">
      <alignment vertical="center" shrinkToFit="1"/>
    </xf>
    <xf numFmtId="178" fontId="116" fillId="0" borderId="75" xfId="0" applyNumberFormat="1" applyFont="1" applyFill="1" applyBorder="1" applyAlignment="1" applyProtection="1">
      <alignment horizontal="center" vertical="center" shrinkToFit="1"/>
    </xf>
    <xf numFmtId="178" fontId="116" fillId="0" borderId="75" xfId="3" applyNumberFormat="1" applyFont="1" applyFill="1" applyBorder="1" applyAlignment="1" applyProtection="1">
      <alignment vertical="center" shrinkToFit="1"/>
    </xf>
    <xf numFmtId="176" fontId="111" fillId="0" borderId="44" xfId="0" applyNumberFormat="1" applyFont="1" applyFill="1" applyBorder="1" applyAlignment="1" applyProtection="1">
      <alignment horizontal="center" vertical="center" shrinkToFit="1"/>
      <protection locked="0"/>
    </xf>
    <xf numFmtId="176" fontId="111" fillId="0" borderId="45" xfId="0" applyNumberFormat="1" applyFont="1" applyFill="1" applyBorder="1" applyAlignment="1" applyProtection="1">
      <alignment horizontal="center" vertical="center" shrinkToFit="1"/>
      <protection locked="0"/>
    </xf>
    <xf numFmtId="178" fontId="116" fillId="0" borderId="38" xfId="3" applyNumberFormat="1" applyFont="1" applyFill="1" applyBorder="1" applyAlignment="1" applyProtection="1">
      <alignment vertical="center" shrinkToFit="1"/>
    </xf>
    <xf numFmtId="178" fontId="116" fillId="0" borderId="102" xfId="3" applyNumberFormat="1" applyFont="1" applyFill="1" applyBorder="1" applyAlignment="1" applyProtection="1">
      <alignment vertical="center" shrinkToFit="1"/>
    </xf>
    <xf numFmtId="178" fontId="116" fillId="0" borderId="248" xfId="0" applyNumberFormat="1" applyFont="1" applyFill="1" applyBorder="1" applyAlignment="1" applyProtection="1">
      <alignment vertical="center" shrinkToFit="1"/>
    </xf>
    <xf numFmtId="178" fontId="116" fillId="0" borderId="248" xfId="0" applyNumberFormat="1" applyFont="1" applyFill="1" applyBorder="1" applyAlignment="1" applyProtection="1">
      <alignment horizontal="center" vertical="center" shrinkToFit="1"/>
    </xf>
    <xf numFmtId="178" fontId="116" fillId="0" borderId="248" xfId="3" applyNumberFormat="1" applyFont="1" applyFill="1" applyBorder="1" applyAlignment="1" applyProtection="1">
      <alignment vertical="center" shrinkToFit="1"/>
    </xf>
    <xf numFmtId="176" fontId="115" fillId="0" borderId="249" xfId="0" applyNumberFormat="1" applyFont="1" applyFill="1" applyBorder="1" applyAlignment="1" applyProtection="1">
      <alignment horizontal="center" vertical="center" shrinkToFit="1"/>
    </xf>
    <xf numFmtId="38" fontId="151" fillId="0" borderId="247" xfId="2" applyFont="1" applyFill="1" applyBorder="1" applyAlignment="1" applyProtection="1">
      <alignment vertical="center" shrinkToFit="1"/>
    </xf>
    <xf numFmtId="176" fontId="115" fillId="0" borderId="235" xfId="0" applyNumberFormat="1" applyFont="1" applyFill="1" applyBorder="1" applyAlignment="1" applyProtection="1">
      <alignment horizontal="center" vertical="center" shrinkToFit="1"/>
    </xf>
    <xf numFmtId="181" fontId="115" fillId="0" borderId="27" xfId="0" applyNumberFormat="1" applyFont="1" applyFill="1" applyBorder="1" applyAlignment="1" applyProtection="1">
      <alignment horizontal="center" vertical="center" shrinkToFit="1"/>
    </xf>
    <xf numFmtId="176" fontId="111" fillId="0" borderId="28" xfId="0" applyNumberFormat="1" applyFont="1" applyFill="1" applyBorder="1" applyAlignment="1" applyProtection="1">
      <alignment vertical="center" shrinkToFit="1"/>
      <protection locked="0"/>
    </xf>
    <xf numFmtId="176" fontId="111" fillId="0" borderId="45" xfId="0" applyNumberFormat="1" applyFont="1" applyFill="1" applyBorder="1" applyAlignment="1" applyProtection="1">
      <alignment vertical="center" shrinkToFit="1"/>
      <protection locked="0"/>
    </xf>
    <xf numFmtId="176" fontId="115" fillId="0" borderId="27" xfId="0" applyNumberFormat="1" applyFont="1" applyFill="1" applyBorder="1" applyAlignment="1" applyProtection="1">
      <alignment horizontal="center" vertical="center" shrinkToFit="1"/>
    </xf>
    <xf numFmtId="176" fontId="111" fillId="0" borderId="26" xfId="0" applyNumberFormat="1" applyFont="1" applyFill="1" applyBorder="1" applyAlignment="1" applyProtection="1">
      <alignment vertical="center" shrinkToFit="1"/>
      <protection locked="0"/>
    </xf>
    <xf numFmtId="176" fontId="111" fillId="0" borderId="47" xfId="0" applyNumberFormat="1" applyFont="1" applyFill="1" applyBorder="1" applyAlignment="1" applyProtection="1">
      <alignment vertical="center" shrinkToFit="1"/>
      <protection locked="0"/>
    </xf>
    <xf numFmtId="180" fontId="116" fillId="0" borderId="50" xfId="3" applyNumberFormat="1" applyFont="1" applyFill="1" applyBorder="1" applyAlignment="1" applyProtection="1">
      <alignment vertical="center" shrinkToFit="1"/>
    </xf>
    <xf numFmtId="176" fontId="115" fillId="0" borderId="201" xfId="0" applyNumberFormat="1" applyFont="1" applyFill="1" applyBorder="1" applyAlignment="1" applyProtection="1">
      <alignment horizontal="center" vertical="center" shrinkToFit="1"/>
    </xf>
    <xf numFmtId="38" fontId="151" fillId="12" borderId="3" xfId="2" applyFont="1" applyFill="1" applyBorder="1" applyAlignment="1" applyProtection="1">
      <alignment vertical="center" shrinkToFit="1"/>
    </xf>
    <xf numFmtId="38" fontId="151" fillId="12" borderId="2" xfId="2" applyFont="1" applyFill="1" applyBorder="1" applyAlignment="1" applyProtection="1">
      <alignment vertical="center" shrinkToFit="1"/>
    </xf>
    <xf numFmtId="38" fontId="133" fillId="0" borderId="57" xfId="2" applyFont="1" applyBorder="1" applyAlignment="1" applyProtection="1">
      <alignment vertical="center"/>
    </xf>
    <xf numFmtId="38" fontId="133" fillId="0" borderId="56" xfId="2" applyFont="1" applyBorder="1" applyAlignment="1" applyProtection="1">
      <alignment vertical="center"/>
    </xf>
    <xf numFmtId="38" fontId="133" fillId="0" borderId="246" xfId="2" applyFont="1" applyBorder="1" applyProtection="1">
      <alignment vertical="center"/>
    </xf>
    <xf numFmtId="38" fontId="133" fillId="0" borderId="58" xfId="2" applyFont="1" applyBorder="1" applyProtection="1">
      <alignment vertical="center"/>
    </xf>
    <xf numFmtId="180" fontId="120" fillId="0" borderId="29" xfId="3" applyNumberFormat="1" applyFont="1" applyFill="1" applyBorder="1" applyAlignment="1" applyProtection="1">
      <alignment horizontal="right" vertical="center" shrinkToFit="1"/>
    </xf>
    <xf numFmtId="178" fontId="120" fillId="0" borderId="30" xfId="3" applyNumberFormat="1" applyFont="1" applyFill="1" applyBorder="1" applyAlignment="1" applyProtection="1">
      <alignment horizontal="center" vertical="center" shrinkToFit="1"/>
    </xf>
    <xf numFmtId="180" fontId="120" fillId="0" borderId="91" xfId="3" applyNumberFormat="1" applyFont="1" applyFill="1" applyBorder="1" applyAlignment="1" applyProtection="1">
      <alignment vertical="center" shrinkToFit="1"/>
    </xf>
    <xf numFmtId="176" fontId="115" fillId="0" borderId="92" xfId="0" applyNumberFormat="1" applyFont="1" applyFill="1" applyBorder="1" applyAlignment="1" applyProtection="1">
      <alignment horizontal="center" vertical="center" shrinkToFit="1"/>
    </xf>
    <xf numFmtId="0" fontId="46" fillId="0" borderId="21" xfId="0" applyFont="1" applyBorder="1" applyAlignment="1">
      <alignment horizontal="center" vertical="center"/>
    </xf>
    <xf numFmtId="0" fontId="37" fillId="0" borderId="0" xfId="0" applyFont="1">
      <alignment vertical="center"/>
    </xf>
    <xf numFmtId="49" fontId="121" fillId="0" borderId="13" xfId="0" applyNumberFormat="1" applyFont="1" applyBorder="1" applyAlignment="1">
      <alignment vertical="center"/>
    </xf>
    <xf numFmtId="49" fontId="121" fillId="0" borderId="0" xfId="0" applyNumberFormat="1" applyFont="1" applyBorder="1" applyAlignment="1">
      <alignment vertical="center"/>
    </xf>
    <xf numFmtId="0" fontId="121" fillId="0" borderId="0" xfId="0" applyFont="1" applyFill="1" applyBorder="1" applyAlignment="1">
      <alignment horizontal="center" vertical="center"/>
    </xf>
    <xf numFmtId="0" fontId="121" fillId="0" borderId="12" xfId="0" applyFont="1" applyFill="1" applyBorder="1" applyAlignment="1">
      <alignment horizontal="center" vertical="center"/>
    </xf>
    <xf numFmtId="178" fontId="99" fillId="0" borderId="17" xfId="0" applyNumberFormat="1" applyFont="1" applyBorder="1" applyAlignment="1">
      <alignment horizontal="center" vertical="center"/>
    </xf>
    <xf numFmtId="49" fontId="121" fillId="0" borderId="12" xfId="0" applyNumberFormat="1" applyFont="1" applyBorder="1" applyAlignment="1">
      <alignment vertical="center"/>
    </xf>
    <xf numFmtId="0" fontId="121" fillId="0" borderId="12" xfId="0" applyNumberFormat="1" applyFont="1" applyBorder="1" applyAlignment="1">
      <alignment vertical="center"/>
    </xf>
    <xf numFmtId="49" fontId="121" fillId="0" borderId="13" xfId="0" applyNumberFormat="1" applyFont="1" applyBorder="1" applyAlignment="1">
      <alignment horizontal="center" vertical="center"/>
    </xf>
    <xf numFmtId="49" fontId="121" fillId="0" borderId="0" xfId="0" applyNumberFormat="1" applyFont="1" applyBorder="1" applyAlignment="1">
      <alignment horizontal="center" vertical="center"/>
    </xf>
    <xf numFmtId="0" fontId="121" fillId="0" borderId="0" xfId="0" applyFont="1" applyBorder="1" applyAlignment="1">
      <alignment vertical="center"/>
    </xf>
    <xf numFmtId="49" fontId="121" fillId="0" borderId="13" xfId="0" applyNumberFormat="1" applyFont="1" applyBorder="1">
      <alignment vertical="center"/>
    </xf>
    <xf numFmtId="0" fontId="121" fillId="0" borderId="0" xfId="0" applyFont="1" applyBorder="1">
      <alignment vertical="center"/>
    </xf>
    <xf numFmtId="0" fontId="121" fillId="0" borderId="0" xfId="0" applyNumberFormat="1" applyFont="1" applyBorder="1">
      <alignment vertical="center"/>
    </xf>
    <xf numFmtId="49" fontId="120" fillId="0" borderId="13" xfId="0" applyNumberFormat="1" applyFont="1" applyBorder="1">
      <alignment vertical="center"/>
    </xf>
    <xf numFmtId="0" fontId="121" fillId="0" borderId="69" xfId="0" applyFont="1" applyBorder="1" applyAlignment="1">
      <alignment horizontal="center" vertical="center"/>
    </xf>
    <xf numFmtId="0" fontId="149" fillId="0" borderId="0" xfId="0" applyFont="1" applyBorder="1" applyAlignment="1"/>
    <xf numFmtId="0" fontId="121" fillId="0" borderId="10" xfId="0" applyFont="1" applyBorder="1" applyAlignment="1">
      <alignment vertical="center"/>
    </xf>
    <xf numFmtId="0" fontId="101" fillId="0" borderId="2" xfId="0" applyFont="1" applyBorder="1">
      <alignment vertical="center"/>
    </xf>
    <xf numFmtId="0" fontId="101" fillId="0" borderId="13" xfId="0" applyFont="1" applyBorder="1">
      <alignment vertical="center"/>
    </xf>
    <xf numFmtId="49" fontId="121" fillId="0" borderId="38" xfId="0" applyNumberFormat="1" applyFont="1" applyBorder="1" applyAlignment="1">
      <alignment vertical="center"/>
    </xf>
    <xf numFmtId="0" fontId="121" fillId="0" borderId="13" xfId="0" applyFont="1" applyBorder="1">
      <alignment vertical="center"/>
    </xf>
    <xf numFmtId="49" fontId="121" fillId="0" borderId="11" xfId="0" applyNumberFormat="1" applyFont="1" applyBorder="1">
      <alignment vertical="center"/>
    </xf>
    <xf numFmtId="0" fontId="121" fillId="0" borderId="2" xfId="0" applyFont="1" applyBorder="1">
      <alignment vertical="center"/>
    </xf>
    <xf numFmtId="49" fontId="121" fillId="0" borderId="0" xfId="0" applyNumberFormat="1" applyFont="1">
      <alignment vertical="center"/>
    </xf>
    <xf numFmtId="0" fontId="121" fillId="0" borderId="0" xfId="0" applyFont="1">
      <alignment vertical="center"/>
    </xf>
    <xf numFmtId="0" fontId="121" fillId="0" borderId="0" xfId="0" applyFont="1" applyBorder="1" applyAlignment="1">
      <alignment horizontal="center" vertical="center"/>
    </xf>
    <xf numFmtId="49" fontId="99" fillId="0" borderId="0" xfId="0" applyNumberFormat="1" applyFont="1" applyBorder="1" applyAlignment="1">
      <alignment horizontal="center" vertical="center"/>
    </xf>
    <xf numFmtId="0" fontId="121" fillId="0" borderId="12" xfId="0" applyFont="1" applyBorder="1" applyAlignment="1">
      <alignment horizontal="center" vertical="center"/>
    </xf>
    <xf numFmtId="0" fontId="121" fillId="0" borderId="12" xfId="0" applyNumberFormat="1" applyFont="1" applyBorder="1" applyAlignment="1">
      <alignment horizontal="center" vertical="center"/>
    </xf>
    <xf numFmtId="49" fontId="121" fillId="0" borderId="12" xfId="0" applyNumberFormat="1" applyFont="1" applyBorder="1" applyAlignment="1">
      <alignment horizontal="center" vertical="center"/>
    </xf>
    <xf numFmtId="0" fontId="121" fillId="0" borderId="12" xfId="0" applyFont="1" applyBorder="1">
      <alignment vertical="center"/>
    </xf>
    <xf numFmtId="0" fontId="121" fillId="0" borderId="12" xfId="0" applyFont="1" applyBorder="1" applyAlignment="1">
      <alignment vertical="center"/>
    </xf>
    <xf numFmtId="49" fontId="121" fillId="0" borderId="38" xfId="0" applyNumberFormat="1" applyFont="1" applyBorder="1">
      <alignment vertical="center"/>
    </xf>
    <xf numFmtId="0" fontId="121" fillId="0" borderId="3" xfId="0" applyFont="1" applyBorder="1">
      <alignment vertical="center"/>
    </xf>
    <xf numFmtId="0" fontId="101" fillId="0" borderId="0" xfId="8" applyFont="1">
      <alignment vertical="center"/>
    </xf>
    <xf numFmtId="0" fontId="101" fillId="0" borderId="60" xfId="8" applyFont="1" applyBorder="1" applyAlignment="1">
      <alignment horizontal="center" vertical="center"/>
    </xf>
    <xf numFmtId="0" fontId="101" fillId="0" borderId="61" xfId="8" applyFont="1" applyBorder="1">
      <alignment vertical="center"/>
    </xf>
    <xf numFmtId="0" fontId="121" fillId="0" borderId="61" xfId="8" applyFont="1" applyBorder="1" applyAlignment="1">
      <alignment horizontal="center" vertical="center"/>
    </xf>
    <xf numFmtId="0" fontId="149" fillId="0" borderId="61" xfId="8" applyFont="1" applyBorder="1">
      <alignment vertical="center"/>
    </xf>
    <xf numFmtId="0" fontId="101" fillId="0" borderId="62" xfId="8" applyFont="1" applyBorder="1">
      <alignment vertical="center"/>
    </xf>
    <xf numFmtId="0" fontId="101" fillId="0" borderId="0" xfId="8" applyFont="1" applyBorder="1">
      <alignment vertical="center"/>
    </xf>
    <xf numFmtId="0" fontId="101" fillId="0" borderId="63" xfId="8" applyFont="1" applyBorder="1" applyAlignment="1">
      <alignment horizontal="center" vertical="center"/>
    </xf>
    <xf numFmtId="0" fontId="121" fillId="0" borderId="0" xfId="8" applyFont="1" applyBorder="1" applyAlignment="1">
      <alignment vertical="center"/>
    </xf>
    <xf numFmtId="0" fontId="101" fillId="0" borderId="65" xfId="8" applyFont="1" applyBorder="1" applyAlignment="1">
      <alignment horizontal="center" vertical="center"/>
    </xf>
    <xf numFmtId="0" fontId="101" fillId="0" borderId="0" xfId="8" applyFont="1" applyBorder="1" applyAlignment="1">
      <alignment horizontal="center" vertical="center"/>
    </xf>
    <xf numFmtId="0" fontId="121" fillId="0" borderId="0" xfId="8" applyFont="1" applyBorder="1">
      <alignment vertical="center"/>
    </xf>
    <xf numFmtId="0" fontId="149" fillId="0" borderId="0" xfId="8" applyFont="1" applyBorder="1">
      <alignment vertical="center"/>
    </xf>
    <xf numFmtId="0" fontId="152" fillId="0" borderId="0" xfId="8" applyFont="1" applyBorder="1" applyAlignment="1">
      <alignment vertical="center"/>
    </xf>
    <xf numFmtId="0" fontId="152" fillId="0" borderId="0" xfId="8" applyFont="1" applyBorder="1" applyAlignment="1">
      <alignment horizontal="right" vertical="center"/>
    </xf>
    <xf numFmtId="0" fontId="152" fillId="0" borderId="0" xfId="8" applyFont="1" applyAlignment="1">
      <alignment horizontal="right" vertical="center"/>
    </xf>
    <xf numFmtId="0" fontId="152" fillId="0" borderId="0" xfId="8" applyFont="1" applyBorder="1" applyAlignment="1">
      <alignment horizontal="center" vertical="center"/>
    </xf>
    <xf numFmtId="0" fontId="152" fillId="0" borderId="0" xfId="8" applyFont="1" applyBorder="1" applyAlignment="1">
      <alignment horizontal="left" vertical="center"/>
    </xf>
    <xf numFmtId="0" fontId="152" fillId="0" borderId="0" xfId="8" applyFont="1" applyBorder="1" applyAlignment="1">
      <alignment vertical="center" wrapText="1"/>
    </xf>
    <xf numFmtId="0" fontId="152" fillId="0" borderId="0" xfId="8" applyFont="1" applyBorder="1" applyAlignment="1">
      <alignment horizontal="right" vertical="center" wrapText="1"/>
    </xf>
    <xf numFmtId="0" fontId="152" fillId="0" borderId="0" xfId="8" applyFont="1" applyBorder="1" applyAlignment="1">
      <alignment horizontal="center" vertical="center" wrapText="1"/>
    </xf>
    <xf numFmtId="0" fontId="149" fillId="0" borderId="0" xfId="8" applyFont="1" applyBorder="1" applyAlignment="1">
      <alignment vertical="center"/>
    </xf>
    <xf numFmtId="0" fontId="149" fillId="0" borderId="69" xfId="8" applyFont="1" applyBorder="1" applyAlignment="1">
      <alignment vertical="center"/>
    </xf>
    <xf numFmtId="0" fontId="122" fillId="0" borderId="71" xfId="8" applyFont="1" applyBorder="1" applyAlignment="1">
      <alignment vertical="center" wrapText="1"/>
    </xf>
    <xf numFmtId="49" fontId="149" fillId="0" borderId="269" xfId="8" applyNumberFormat="1" applyFont="1" applyBorder="1" applyAlignment="1" applyProtection="1">
      <alignment horizontal="center" vertical="center"/>
      <protection locked="0"/>
    </xf>
    <xf numFmtId="49" fontId="121" fillId="0" borderId="0" xfId="8" applyNumberFormat="1" applyFont="1" applyBorder="1" applyAlignment="1" applyProtection="1">
      <alignment horizontal="center" vertical="center"/>
      <protection locked="0"/>
    </xf>
    <xf numFmtId="49" fontId="121" fillId="0" borderId="12" xfId="8" applyNumberFormat="1" applyFont="1" applyBorder="1" applyAlignment="1" applyProtection="1">
      <alignment horizontal="center" vertical="center"/>
      <protection locked="0"/>
    </xf>
    <xf numFmtId="49" fontId="111" fillId="0" borderId="77" xfId="8" applyNumberFormat="1" applyFont="1" applyBorder="1" applyAlignment="1" applyProtection="1">
      <alignment horizontal="right" vertical="center"/>
      <protection locked="0"/>
    </xf>
    <xf numFmtId="49" fontId="111" fillId="0" borderId="149" xfId="8" applyNumberFormat="1" applyFont="1" applyBorder="1" applyAlignment="1" applyProtection="1">
      <alignment horizontal="right" vertical="center"/>
      <protection locked="0"/>
    </xf>
    <xf numFmtId="0" fontId="112" fillId="0" borderId="0" xfId="8" applyFont="1" applyBorder="1" applyAlignment="1">
      <alignment horizontal="center" vertical="center"/>
    </xf>
    <xf numFmtId="0" fontId="112" fillId="0" borderId="0" xfId="8" applyFont="1" applyBorder="1" applyAlignment="1">
      <alignment vertical="center"/>
    </xf>
    <xf numFmtId="0" fontId="152" fillId="0" borderId="69" xfId="8" applyFont="1" applyBorder="1" applyAlignment="1">
      <alignment vertical="center" wrapText="1"/>
    </xf>
    <xf numFmtId="0" fontId="101" fillId="0" borderId="63" xfId="8" applyFont="1" applyBorder="1">
      <alignment vertical="center"/>
    </xf>
    <xf numFmtId="0" fontId="101" fillId="0" borderId="65" xfId="8" applyFont="1" applyBorder="1">
      <alignment vertical="center"/>
    </xf>
    <xf numFmtId="0" fontId="149" fillId="0" borderId="0" xfId="8" applyFont="1">
      <alignment vertical="center"/>
    </xf>
    <xf numFmtId="0" fontId="101" fillId="0" borderId="71" xfId="8" applyFont="1" applyBorder="1" applyAlignment="1">
      <alignment horizontal="center" vertical="center" wrapText="1"/>
    </xf>
    <xf numFmtId="49" fontId="153" fillId="0" borderId="0" xfId="0" applyNumberFormat="1" applyFont="1" applyBorder="1" applyAlignment="1" applyProtection="1">
      <alignment vertical="center"/>
      <protection locked="0"/>
    </xf>
    <xf numFmtId="49" fontId="121" fillId="0" borderId="0" xfId="0" applyNumberFormat="1" applyFont="1" applyBorder="1" applyAlignment="1">
      <alignment horizontal="left" vertical="center"/>
    </xf>
    <xf numFmtId="49" fontId="99" fillId="0" borderId="0" xfId="0" applyNumberFormat="1" applyFont="1" applyBorder="1" applyAlignment="1" applyProtection="1">
      <alignment horizontal="center" vertical="center"/>
      <protection locked="0"/>
    </xf>
    <xf numFmtId="0" fontId="99" fillId="0" borderId="0" xfId="0" applyNumberFormat="1" applyFont="1" applyBorder="1" applyAlignment="1">
      <alignment vertical="center"/>
    </xf>
    <xf numFmtId="49" fontId="155" fillId="0" borderId="0" xfId="0" applyNumberFormat="1" applyFont="1" applyBorder="1" applyAlignment="1">
      <alignment vertical="center"/>
    </xf>
    <xf numFmtId="49" fontId="154" fillId="0" borderId="0" xfId="0" applyNumberFormat="1" applyFont="1" applyBorder="1" applyAlignment="1" applyProtection="1">
      <alignment horizontal="center" vertical="center"/>
      <protection locked="0"/>
    </xf>
    <xf numFmtId="0" fontId="154" fillId="0" borderId="0" xfId="0" applyNumberFormat="1" applyFont="1" applyBorder="1" applyAlignment="1" applyProtection="1">
      <alignment vertical="center"/>
      <protection locked="0"/>
    </xf>
    <xf numFmtId="0" fontId="121" fillId="0" borderId="0" xfId="0" applyNumberFormat="1" applyFont="1" applyBorder="1" applyAlignment="1">
      <alignment horizontal="right" vertical="center"/>
    </xf>
    <xf numFmtId="0" fontId="99" fillId="0" borderId="0" xfId="0" applyNumberFormat="1" applyFont="1" applyBorder="1" applyAlignment="1">
      <alignment horizontal="center" vertical="center"/>
    </xf>
    <xf numFmtId="0" fontId="130" fillId="0" borderId="69" xfId="0" applyFont="1" applyBorder="1" applyAlignment="1" applyProtection="1">
      <alignment horizontal="center" vertical="center"/>
    </xf>
    <xf numFmtId="178" fontId="136" fillId="0" borderId="0" xfId="0" applyNumberFormat="1" applyFont="1" applyBorder="1" applyAlignment="1" applyProtection="1">
      <alignment horizontal="center" vertical="center"/>
    </xf>
    <xf numFmtId="0" fontId="124" fillId="0" borderId="69" xfId="0" applyFont="1" applyBorder="1" applyAlignment="1" applyProtection="1">
      <alignment horizontal="center" vertical="center"/>
    </xf>
    <xf numFmtId="0" fontId="109" fillId="8" borderId="69" xfId="0" applyFont="1" applyFill="1" applyBorder="1" applyAlignment="1" applyProtection="1">
      <alignment horizontal="center" vertical="center"/>
    </xf>
    <xf numFmtId="0" fontId="129" fillId="0" borderId="69" xfId="0" applyFont="1" applyFill="1" applyBorder="1" applyAlignment="1" applyProtection="1">
      <alignment horizontal="center" vertical="center"/>
    </xf>
    <xf numFmtId="0" fontId="130" fillId="4" borderId="80" xfId="0" applyNumberFormat="1" applyFont="1" applyFill="1" applyBorder="1" applyAlignment="1" applyProtection="1">
      <alignment horizontal="center" vertical="center" shrinkToFit="1"/>
      <protection locked="0"/>
    </xf>
    <xf numFmtId="0" fontId="130" fillId="4" borderId="3" xfId="0" applyNumberFormat="1" applyFont="1" applyFill="1" applyBorder="1" applyAlignment="1" applyProtection="1">
      <alignment horizontal="center" vertical="center" shrinkToFit="1"/>
      <protection locked="0"/>
    </xf>
    <xf numFmtId="0" fontId="130" fillId="4" borderId="147" xfId="0" applyNumberFormat="1" applyFont="1" applyFill="1" applyBorder="1" applyAlignment="1" applyProtection="1">
      <alignment horizontal="center" vertical="center" shrinkToFit="1"/>
      <protection locked="0"/>
    </xf>
    <xf numFmtId="178" fontId="135" fillId="0" borderId="76" xfId="0" applyNumberFormat="1" applyFont="1" applyBorder="1" applyAlignment="1" applyProtection="1">
      <alignment horizontal="center" vertical="center" shrinkToFit="1"/>
    </xf>
    <xf numFmtId="0" fontId="101" fillId="0" borderId="80" xfId="0" applyFont="1" applyBorder="1" applyAlignment="1" applyProtection="1">
      <alignment horizontal="center" vertical="center" shrinkToFit="1"/>
    </xf>
    <xf numFmtId="178" fontId="130" fillId="0" borderId="81" xfId="0" applyNumberFormat="1" applyFont="1" applyBorder="1" applyAlignment="1" applyProtection="1">
      <alignment horizontal="center" vertical="center" shrinkToFit="1"/>
    </xf>
    <xf numFmtId="0" fontId="101" fillId="0" borderId="53" xfId="0" applyFont="1" applyBorder="1" applyAlignment="1" applyProtection="1">
      <alignment horizontal="center" vertical="center" shrinkToFit="1"/>
    </xf>
    <xf numFmtId="178" fontId="135" fillId="0" borderId="81" xfId="0" applyNumberFormat="1" applyFont="1" applyBorder="1" applyAlignment="1" applyProtection="1">
      <alignment horizontal="center" vertical="center" shrinkToFit="1"/>
    </xf>
    <xf numFmtId="0" fontId="135" fillId="0" borderId="77" xfId="0" applyFont="1" applyBorder="1" applyAlignment="1" applyProtection="1">
      <alignment horizontal="center" vertical="center" shrinkToFit="1"/>
    </xf>
    <xf numFmtId="0" fontId="101" fillId="0" borderId="82" xfId="0" applyFont="1" applyBorder="1" applyAlignment="1" applyProtection="1">
      <alignment horizontal="center" vertical="center" shrinkToFit="1"/>
    </xf>
    <xf numFmtId="0" fontId="101" fillId="0" borderId="17" xfId="0" applyFont="1" applyBorder="1" applyAlignment="1" applyProtection="1">
      <alignment horizontal="right" vertical="center" shrinkToFit="1"/>
    </xf>
    <xf numFmtId="0" fontId="101" fillId="0" borderId="69"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101" fillId="0" borderId="3" xfId="0" applyFont="1" applyBorder="1" applyProtection="1">
      <alignment vertical="center"/>
    </xf>
    <xf numFmtId="0" fontId="101" fillId="0" borderId="2" xfId="0" applyFont="1" applyBorder="1" applyAlignment="1">
      <alignment horizontal="center" vertical="center"/>
    </xf>
    <xf numFmtId="0" fontId="101" fillId="0" borderId="2" xfId="0" applyFont="1" applyBorder="1" applyAlignment="1" applyProtection="1">
      <alignment horizontal="center" vertical="center"/>
    </xf>
    <xf numFmtId="176" fontId="111" fillId="0" borderId="122" xfId="0" applyNumberFormat="1" applyFont="1" applyFill="1" applyBorder="1" applyAlignment="1" applyProtection="1">
      <alignment horizontal="center" vertical="center" shrinkToFit="1"/>
      <protection locked="0"/>
    </xf>
    <xf numFmtId="176" fontId="111" fillId="0" borderId="28" xfId="0" applyNumberFormat="1" applyFont="1" applyFill="1" applyBorder="1" applyAlignment="1" applyProtection="1">
      <alignment horizontal="center" vertical="center" shrinkToFit="1"/>
      <protection locked="0"/>
    </xf>
    <xf numFmtId="38" fontId="43" fillId="0" borderId="101" xfId="0" applyNumberFormat="1" applyFont="1" applyFill="1" applyBorder="1" applyAlignment="1" applyProtection="1"/>
    <xf numFmtId="6" fontId="43" fillId="0" borderId="0" xfId="4" applyFont="1" applyFill="1" applyBorder="1" applyAlignment="1" applyProtection="1"/>
    <xf numFmtId="6" fontId="151" fillId="12" borderId="229" xfId="4" applyFont="1" applyFill="1" applyBorder="1" applyAlignment="1" applyProtection="1">
      <alignment horizontal="center" vertical="center" shrinkToFit="1"/>
    </xf>
    <xf numFmtId="6" fontId="151" fillId="12" borderId="46" xfId="4" applyFont="1" applyFill="1" applyBorder="1" applyAlignment="1" applyProtection="1">
      <alignment horizontal="center" vertical="center" shrinkToFit="1"/>
    </xf>
    <xf numFmtId="6" fontId="151" fillId="0" borderId="49" xfId="4" applyFont="1" applyFill="1" applyBorder="1" applyAlignment="1" applyProtection="1">
      <alignment horizontal="right" vertical="center" shrinkToFit="1"/>
    </xf>
    <xf numFmtId="6" fontId="151" fillId="0" borderId="254" xfId="4" applyFont="1" applyFill="1" applyBorder="1" applyAlignment="1" applyProtection="1">
      <alignment horizontal="right" vertical="center" shrinkToFit="1"/>
    </xf>
    <xf numFmtId="0" fontId="46" fillId="5" borderId="21" xfId="0" applyFont="1" applyFill="1" applyBorder="1" applyAlignment="1">
      <alignment horizontal="center" vertical="center"/>
    </xf>
    <xf numFmtId="0" fontId="49" fillId="0" borderId="21" xfId="0" applyFont="1" applyBorder="1" applyAlignment="1">
      <alignment horizontal="center" vertical="center"/>
    </xf>
    <xf numFmtId="0" fontId="159" fillId="0" borderId="0" xfId="0" applyFont="1" applyFill="1" applyBorder="1">
      <alignment vertical="center"/>
    </xf>
    <xf numFmtId="0" fontId="37" fillId="0" borderId="0" xfId="0" applyFont="1" applyFill="1" applyBorder="1" applyAlignment="1">
      <alignment horizontal="center" vertical="center"/>
    </xf>
    <xf numFmtId="0" fontId="160" fillId="0" borderId="0" xfId="0" applyFont="1" applyFill="1" applyBorder="1" applyAlignment="1">
      <alignment vertical="center"/>
    </xf>
    <xf numFmtId="0" fontId="157" fillId="0" borderId="0" xfId="0" applyFont="1" applyFill="1" applyBorder="1" applyAlignment="1">
      <alignment horizontal="center" vertical="center"/>
    </xf>
    <xf numFmtId="0" fontId="37" fillId="0" borderId="0" xfId="0" applyFont="1" applyFill="1" applyBorder="1">
      <alignment vertical="center"/>
    </xf>
    <xf numFmtId="0" fontId="37" fillId="0" borderId="0" xfId="0" applyFont="1" applyFill="1" applyBorder="1" applyAlignment="1">
      <alignment vertical="center"/>
    </xf>
    <xf numFmtId="0" fontId="46" fillId="3" borderId="0" xfId="0" applyFont="1" applyFill="1" applyBorder="1" applyAlignment="1">
      <alignment horizontal="center" vertical="center"/>
    </xf>
    <xf numFmtId="0" fontId="46" fillId="0" borderId="0" xfId="0" applyFont="1" applyBorder="1" applyAlignment="1">
      <alignment horizontal="center" vertical="center"/>
    </xf>
    <xf numFmtId="0" fontId="4" fillId="0" borderId="0" xfId="0" applyFont="1" applyFill="1" applyBorder="1" applyAlignment="1">
      <alignment horizontal="center" vertical="center"/>
    </xf>
    <xf numFmtId="0" fontId="46" fillId="3" borderId="54" xfId="0" applyFont="1" applyFill="1" applyBorder="1" applyAlignment="1">
      <alignment horizontal="center" vertical="center"/>
    </xf>
    <xf numFmtId="0" fontId="51" fillId="0" borderId="0" xfId="0" applyFont="1" applyFill="1" applyBorder="1" applyAlignment="1">
      <alignment vertical="center"/>
    </xf>
    <xf numFmtId="0" fontId="161" fillId="0" borderId="0" xfId="0" applyFont="1" applyFill="1" applyBorder="1" applyAlignment="1">
      <alignment horizontal="center" vertical="center"/>
    </xf>
    <xf numFmtId="0" fontId="108" fillId="0" borderId="0" xfId="0" applyFont="1" applyBorder="1" applyAlignment="1">
      <alignment horizontal="center" vertical="center"/>
    </xf>
    <xf numFmtId="0" fontId="0" fillId="0" borderId="0" xfId="0" applyAlignment="1">
      <alignment horizontal="center" vertical="center" wrapText="1"/>
    </xf>
    <xf numFmtId="0" fontId="162" fillId="0" borderId="21" xfId="0" applyFont="1" applyBorder="1" applyAlignment="1">
      <alignment horizontal="center" vertical="center"/>
    </xf>
    <xf numFmtId="0" fontId="162" fillId="0" borderId="0" xfId="0" applyFont="1">
      <alignment vertical="center"/>
    </xf>
    <xf numFmtId="0" fontId="162" fillId="0" borderId="21" xfId="0" applyFont="1" applyFill="1" applyBorder="1" applyAlignment="1">
      <alignment horizontal="center" vertical="center"/>
    </xf>
    <xf numFmtId="0" fontId="162" fillId="0" borderId="0" xfId="0" applyFont="1" applyFill="1">
      <alignment vertical="center"/>
    </xf>
    <xf numFmtId="0" fontId="162" fillId="17" borderId="0" xfId="0" applyFont="1" applyFill="1">
      <alignment vertical="center"/>
    </xf>
    <xf numFmtId="0" fontId="162" fillId="16" borderId="0" xfId="0" applyFont="1" applyFill="1">
      <alignment vertical="center"/>
    </xf>
    <xf numFmtId="0" fontId="162" fillId="15" borderId="0" xfId="0" applyFont="1" applyFill="1">
      <alignment vertical="center"/>
    </xf>
    <xf numFmtId="0" fontId="162" fillId="3" borderId="0" xfId="0" applyFont="1" applyFill="1">
      <alignment vertical="center"/>
    </xf>
    <xf numFmtId="38" fontId="162" fillId="0" borderId="21" xfId="1" applyFont="1" applyBorder="1" applyAlignment="1">
      <alignment horizontal="center" vertical="center"/>
    </xf>
    <xf numFmtId="0" fontId="162" fillId="14" borderId="0" xfId="0" applyFont="1" applyFill="1">
      <alignment vertical="center"/>
    </xf>
    <xf numFmtId="0" fontId="62" fillId="18" borderId="0" xfId="0" applyFont="1" applyFill="1" applyBorder="1" applyAlignment="1">
      <alignment vertical="center" wrapText="1"/>
    </xf>
    <xf numFmtId="187" fontId="62" fillId="0" borderId="0" xfId="0" applyNumberFormat="1" applyFont="1" applyBorder="1">
      <alignment vertical="center"/>
    </xf>
    <xf numFmtId="188" fontId="62" fillId="0" borderId="0" xfId="0" applyNumberFormat="1" applyFont="1" applyBorder="1">
      <alignment vertical="center"/>
    </xf>
    <xf numFmtId="0" fontId="93" fillId="18" borderId="277" xfId="12" applyFill="1" applyBorder="1" applyAlignment="1">
      <alignment vertical="center" wrapText="1"/>
    </xf>
    <xf numFmtId="0" fontId="0" fillId="0" borderId="39" xfId="0" applyFont="1" applyBorder="1">
      <alignment vertical="center"/>
    </xf>
    <xf numFmtId="0" fontId="62" fillId="0" borderId="0" xfId="0" applyFont="1" applyFill="1" applyBorder="1" applyAlignment="1">
      <alignment horizontal="center" vertical="center"/>
    </xf>
    <xf numFmtId="186" fontId="62" fillId="0" borderId="0" xfId="0" applyNumberFormat="1" applyFont="1" applyBorder="1">
      <alignment vertical="center"/>
    </xf>
    <xf numFmtId="187" fontId="62" fillId="0" borderId="0" xfId="0" applyNumberFormat="1" applyFont="1" applyBorder="1" applyAlignment="1">
      <alignment horizontal="center" vertical="center"/>
    </xf>
    <xf numFmtId="188" fontId="62" fillId="0" borderId="0" xfId="0" applyNumberFormat="1" applyFont="1" applyFill="1" applyBorder="1" applyAlignment="1">
      <alignment horizontal="center" vertical="center"/>
    </xf>
    <xf numFmtId="0" fontId="62" fillId="0" borderId="0" xfId="0" applyFont="1" applyBorder="1" applyAlignment="1">
      <alignment horizontal="center" vertical="center" textRotation="255"/>
    </xf>
    <xf numFmtId="0" fontId="62" fillId="0" borderId="0" xfId="0" applyFont="1" applyFill="1" applyBorder="1">
      <alignment vertical="center"/>
    </xf>
    <xf numFmtId="188" fontId="62" fillId="0" borderId="0" xfId="0" applyNumberFormat="1" applyFont="1" applyFill="1" applyBorder="1">
      <alignment vertical="center"/>
    </xf>
    <xf numFmtId="0" fontId="62" fillId="0" borderId="0" xfId="0" applyFont="1" applyBorder="1" applyAlignment="1">
      <alignment vertical="center" wrapText="1"/>
    </xf>
    <xf numFmtId="187" fontId="62" fillId="0" borderId="0" xfId="0" applyNumberFormat="1" applyFont="1" applyFill="1" applyBorder="1">
      <alignment vertical="center"/>
    </xf>
    <xf numFmtId="0" fontId="62" fillId="0" borderId="0" xfId="0" applyFont="1" applyBorder="1" applyAlignment="1">
      <alignment horizontal="left" vertical="center" wrapText="1"/>
    </xf>
    <xf numFmtId="187" fontId="62" fillId="0" borderId="0" xfId="0" applyNumberFormat="1" applyFont="1" applyBorder="1" applyAlignment="1">
      <alignment vertical="center"/>
    </xf>
    <xf numFmtId="188" fontId="62" fillId="0" borderId="0" xfId="0" applyNumberFormat="1" applyFont="1" applyBorder="1" applyAlignment="1">
      <alignment horizontal="left" vertical="center"/>
    </xf>
    <xf numFmtId="0" fontId="163" fillId="0" borderId="0" xfId="0" applyFont="1" applyBorder="1">
      <alignment vertical="center"/>
    </xf>
    <xf numFmtId="0" fontId="163" fillId="0" borderId="0" xfId="0" applyFont="1" applyBorder="1" applyAlignment="1">
      <alignment horizontal="right" vertical="center"/>
    </xf>
    <xf numFmtId="0" fontId="164" fillId="0" borderId="0" xfId="0" applyFont="1" applyBorder="1">
      <alignment vertical="center"/>
    </xf>
    <xf numFmtId="0" fontId="62" fillId="0" borderId="0" xfId="0" applyFont="1" applyBorder="1" applyAlignment="1">
      <alignment horizontal="right" vertical="center"/>
    </xf>
    <xf numFmtId="0" fontId="62" fillId="0" borderId="0" xfId="0" applyFont="1" applyBorder="1" applyAlignment="1">
      <alignment horizontal="justify" vertical="center"/>
    </xf>
    <xf numFmtId="0" fontId="94" fillId="0" borderId="0" xfId="0" applyFont="1" applyBorder="1" applyAlignment="1">
      <alignment vertical="center" wrapText="1"/>
    </xf>
    <xf numFmtId="188" fontId="62" fillId="0" borderId="0" xfId="0" applyNumberFormat="1" applyFont="1" applyBorder="1" applyAlignment="1">
      <alignment vertical="center" wrapText="1"/>
    </xf>
    <xf numFmtId="187" fontId="163" fillId="0" borderId="0" xfId="0" applyNumberFormat="1" applyFont="1" applyBorder="1">
      <alignment vertical="center"/>
    </xf>
    <xf numFmtId="188" fontId="69" fillId="0" borderId="0" xfId="0" applyNumberFormat="1" applyFont="1" applyBorder="1" applyAlignment="1">
      <alignment vertical="center" wrapText="1"/>
    </xf>
    <xf numFmtId="187" fontId="163" fillId="0" borderId="0" xfId="0" applyNumberFormat="1" applyFont="1" applyBorder="1" applyAlignment="1">
      <alignment horizontal="right" vertical="center"/>
    </xf>
    <xf numFmtId="187" fontId="62" fillId="0" borderId="0" xfId="0" applyNumberFormat="1" applyFont="1" applyBorder="1" applyAlignment="1">
      <alignment horizontal="right" vertical="center"/>
    </xf>
    <xf numFmtId="0" fontId="165" fillId="0" borderId="0" xfId="0" applyFont="1" applyBorder="1" applyAlignment="1">
      <alignment horizontal="justify" vertical="center"/>
    </xf>
    <xf numFmtId="56" fontId="62" fillId="0" borderId="0" xfId="0" applyNumberFormat="1" applyFont="1" applyBorder="1">
      <alignment vertical="center"/>
    </xf>
    <xf numFmtId="186" fontId="0" fillId="0" borderId="0" xfId="0" applyNumberFormat="1" applyBorder="1">
      <alignment vertical="center"/>
    </xf>
    <xf numFmtId="6" fontId="133" fillId="0" borderId="48" xfId="4" applyFont="1" applyBorder="1" applyAlignment="1" applyProtection="1">
      <alignment horizontal="center" vertical="center" shrinkToFit="1"/>
    </xf>
    <xf numFmtId="6" fontId="151" fillId="0" borderId="48" xfId="4" applyFont="1" applyBorder="1" applyAlignment="1" applyProtection="1">
      <alignment horizontal="center" vertical="center" shrinkToFit="1"/>
    </xf>
    <xf numFmtId="178" fontId="37" fillId="0" borderId="0" xfId="0" applyNumberFormat="1" applyFont="1" applyBorder="1" applyAlignment="1" applyProtection="1">
      <alignment horizontal="right" vertical="center"/>
    </xf>
    <xf numFmtId="0" fontId="101" fillId="0" borderId="221" xfId="0" applyFont="1" applyBorder="1" applyProtection="1">
      <alignment vertical="center"/>
    </xf>
    <xf numFmtId="0" fontId="101" fillId="0" borderId="0" xfId="0" applyFont="1" applyBorder="1" applyProtection="1">
      <alignment vertical="center"/>
    </xf>
    <xf numFmtId="0" fontId="101" fillId="0" borderId="3" xfId="0" applyFont="1" applyBorder="1">
      <alignment vertical="center"/>
    </xf>
    <xf numFmtId="189" fontId="115" fillId="0" borderId="33" xfId="0" applyNumberFormat="1" applyFont="1" applyFill="1" applyBorder="1" applyAlignment="1" applyProtection="1">
      <alignment horizontal="center" vertical="center" shrinkToFit="1"/>
    </xf>
    <xf numFmtId="178" fontId="99" fillId="0" borderId="0" xfId="0" applyNumberFormat="1" applyFont="1" applyFill="1" applyBorder="1" applyAlignment="1" applyProtection="1">
      <alignment horizontal="center" vertical="center"/>
      <protection locked="0"/>
    </xf>
    <xf numFmtId="181" fontId="130" fillId="4" borderId="79" xfId="0" applyNumberFormat="1" applyFont="1" applyFill="1" applyBorder="1" applyAlignment="1" applyProtection="1">
      <alignment vertical="center" shrinkToFit="1"/>
      <protection locked="0"/>
    </xf>
    <xf numFmtId="0" fontId="138" fillId="0" borderId="97" xfId="0" applyNumberFormat="1" applyFont="1" applyFill="1" applyBorder="1" applyAlignment="1" applyProtection="1">
      <alignment horizontal="left" vertical="center" wrapText="1"/>
      <protection hidden="1"/>
    </xf>
    <xf numFmtId="0" fontId="138" fillId="0" borderId="94" xfId="0" applyNumberFormat="1" applyFont="1" applyFill="1" applyBorder="1" applyAlignment="1" applyProtection="1">
      <alignment horizontal="left" vertical="center" wrapText="1"/>
      <protection hidden="1"/>
    </xf>
    <xf numFmtId="0" fontId="138" fillId="0" borderId="94" xfId="0" applyNumberFormat="1" applyFont="1" applyFill="1" applyBorder="1" applyAlignment="1" applyProtection="1">
      <alignment vertical="center" wrapText="1"/>
      <protection hidden="1"/>
    </xf>
    <xf numFmtId="0" fontId="101" fillId="0" borderId="93" xfId="0" applyNumberFormat="1" applyFont="1" applyBorder="1" applyAlignment="1" applyProtection="1">
      <alignment horizontal="center" vertical="center"/>
      <protection hidden="1"/>
    </xf>
    <xf numFmtId="0" fontId="138" fillId="0" borderId="96" xfId="0" applyNumberFormat="1" applyFont="1" applyFill="1" applyBorder="1" applyAlignment="1" applyProtection="1">
      <alignment horizontal="left" vertical="center" wrapText="1"/>
      <protection hidden="1"/>
    </xf>
    <xf numFmtId="0" fontId="101" fillId="0" borderId="273" xfId="0" applyFont="1" applyBorder="1" applyProtection="1">
      <alignment vertical="center"/>
    </xf>
    <xf numFmtId="0" fontId="101" fillId="0" borderId="0" xfId="0" applyNumberFormat="1" applyFont="1" applyProtection="1">
      <alignment vertical="center"/>
      <protection hidden="1"/>
    </xf>
    <xf numFmtId="0" fontId="101" fillId="0" borderId="94" xfId="0" applyFont="1" applyBorder="1" applyProtection="1">
      <alignment vertical="center"/>
    </xf>
    <xf numFmtId="0" fontId="101" fillId="0" borderId="0" xfId="0" applyFont="1" applyAlignment="1">
      <alignment horizontal="left" vertical="center"/>
    </xf>
    <xf numFmtId="0" fontId="168" fillId="0" borderId="0" xfId="0" applyFont="1" applyAlignment="1" applyProtection="1">
      <alignment horizontal="center" vertical="center"/>
    </xf>
    <xf numFmtId="0" fontId="168" fillId="0" borderId="0" xfId="0" applyFont="1" applyAlignment="1" applyProtection="1">
      <alignment vertical="center"/>
    </xf>
    <xf numFmtId="49" fontId="168" fillId="0" borderId="0" xfId="0" applyNumberFormat="1" applyFont="1" applyAlignment="1" applyProtection="1">
      <alignment vertical="center"/>
    </xf>
    <xf numFmtId="49" fontId="168" fillId="0" borderId="0" xfId="0" applyNumberFormat="1" applyFont="1" applyAlignment="1" applyProtection="1">
      <alignment horizontal="center" vertical="center"/>
    </xf>
    <xf numFmtId="49" fontId="168" fillId="0" borderId="0" xfId="0" applyNumberFormat="1" applyFont="1" applyAlignment="1" applyProtection="1">
      <alignment horizontal="left" vertical="center"/>
    </xf>
    <xf numFmtId="0" fontId="106" fillId="0" borderId="0" xfId="0" applyFont="1" applyAlignment="1" applyProtection="1">
      <alignment vertical="center"/>
    </xf>
    <xf numFmtId="0" fontId="101" fillId="0" borderId="0" xfId="0" applyFont="1" applyAlignment="1">
      <alignment vertical="center"/>
    </xf>
    <xf numFmtId="0" fontId="129" fillId="0" borderId="0" xfId="7" applyFont="1" applyProtection="1">
      <alignment vertical="center"/>
    </xf>
    <xf numFmtId="0" fontId="129" fillId="0" borderId="0" xfId="7" applyFont="1">
      <alignment vertical="center"/>
    </xf>
    <xf numFmtId="20" fontId="114" fillId="0" borderId="0" xfId="7" applyNumberFormat="1" applyFont="1" applyBorder="1" applyAlignment="1" applyProtection="1">
      <alignment vertical="center"/>
    </xf>
    <xf numFmtId="0" fontId="129" fillId="0" borderId="0" xfId="7" applyFont="1" applyBorder="1" applyAlignment="1">
      <alignment vertical="top" textRotation="255"/>
    </xf>
    <xf numFmtId="0" fontId="177" fillId="0" borderId="0" xfId="7" applyFont="1" applyFill="1" applyBorder="1" applyProtection="1">
      <alignment vertical="center"/>
    </xf>
    <xf numFmtId="0" fontId="129" fillId="0" borderId="0" xfId="7" applyFont="1" applyBorder="1" applyAlignment="1" applyProtection="1">
      <alignment vertical="center"/>
    </xf>
    <xf numFmtId="0" fontId="177" fillId="0" borderId="0" xfId="7" applyFont="1" applyBorder="1" applyAlignment="1" applyProtection="1">
      <alignment vertical="center"/>
    </xf>
    <xf numFmtId="0" fontId="177" fillId="0" borderId="13" xfId="7" applyFont="1" applyBorder="1" applyAlignment="1" applyProtection="1">
      <alignment vertical="center" textRotation="255" wrapText="1"/>
      <protection locked="0"/>
    </xf>
    <xf numFmtId="0" fontId="177" fillId="0" borderId="11" xfId="7" applyFont="1" applyBorder="1" applyAlignment="1" applyProtection="1">
      <alignment vertical="center" textRotation="255" wrapText="1"/>
      <protection locked="0"/>
    </xf>
    <xf numFmtId="0" fontId="177" fillId="0" borderId="2" xfId="7" applyFont="1" applyBorder="1" applyAlignment="1" applyProtection="1">
      <alignment vertical="center" textRotation="255" wrapText="1"/>
      <protection locked="0"/>
    </xf>
    <xf numFmtId="0" fontId="177" fillId="0" borderId="15" xfId="7" applyFont="1" applyBorder="1" applyAlignment="1" applyProtection="1">
      <alignment vertical="center" textRotation="255" wrapText="1"/>
      <protection locked="0"/>
    </xf>
    <xf numFmtId="0" fontId="177" fillId="0" borderId="10" xfId="7" applyFont="1" applyBorder="1" applyAlignment="1" applyProtection="1">
      <alignment vertical="center" textRotation="255" wrapText="1"/>
      <protection locked="0"/>
    </xf>
    <xf numFmtId="0" fontId="129" fillId="0" borderId="0" xfId="7" applyFont="1" applyBorder="1" applyAlignment="1">
      <alignment vertical="center"/>
    </xf>
    <xf numFmtId="0" fontId="106" fillId="0" borderId="0" xfId="0" applyFont="1" applyBorder="1" applyAlignment="1">
      <alignment vertical="center"/>
    </xf>
    <xf numFmtId="0" fontId="131" fillId="0" borderId="0" xfId="0" applyFont="1" applyBorder="1" applyAlignment="1">
      <alignment vertical="center" shrinkToFit="1"/>
    </xf>
    <xf numFmtId="49" fontId="127" fillId="0" borderId="0" xfId="0" applyNumberFormat="1" applyFont="1" applyBorder="1" applyAlignment="1">
      <alignment vertical="center"/>
    </xf>
    <xf numFmtId="0" fontId="127" fillId="0" borderId="0" xfId="0" applyFont="1" applyBorder="1" applyAlignment="1">
      <alignment vertical="center"/>
    </xf>
    <xf numFmtId="49" fontId="124" fillId="0" borderId="0" xfId="0" applyNumberFormat="1" applyFont="1" applyBorder="1" applyAlignment="1">
      <alignment vertical="center"/>
    </xf>
    <xf numFmtId="0" fontId="129" fillId="0" borderId="0" xfId="7" applyFont="1" applyBorder="1">
      <alignment vertical="center"/>
    </xf>
    <xf numFmtId="0" fontId="114" fillId="0" borderId="0" xfId="7" applyFont="1" applyBorder="1">
      <alignment vertical="center"/>
    </xf>
    <xf numFmtId="0" fontId="114" fillId="0" borderId="0" xfId="7" applyFont="1" applyBorder="1" applyAlignment="1">
      <alignment horizontal="right" vertical="center"/>
    </xf>
    <xf numFmtId="0" fontId="129" fillId="0" borderId="0" xfId="7" applyFont="1" applyBorder="1" applyAlignment="1">
      <alignment vertical="center" wrapText="1"/>
    </xf>
    <xf numFmtId="20" fontId="114" fillId="0" borderId="0" xfId="7" applyNumberFormat="1" applyFont="1" applyBorder="1" applyAlignment="1">
      <alignment vertical="center"/>
    </xf>
    <xf numFmtId="0" fontId="129" fillId="0" borderId="0" xfId="0" applyFont="1" applyBorder="1" applyAlignment="1">
      <alignment vertical="center"/>
    </xf>
    <xf numFmtId="0" fontId="135" fillId="0" borderId="0" xfId="7" applyFont="1" applyBorder="1" applyAlignment="1">
      <alignment vertical="center"/>
    </xf>
    <xf numFmtId="0" fontId="177" fillId="0" borderId="0" xfId="7" applyFont="1" applyBorder="1" applyAlignment="1">
      <alignment vertical="center" textRotation="255" wrapText="1"/>
    </xf>
    <xf numFmtId="0" fontId="177" fillId="0" borderId="0" xfId="7" applyFont="1" applyBorder="1" applyAlignment="1">
      <alignment vertical="center"/>
    </xf>
    <xf numFmtId="0" fontId="177" fillId="0" borderId="0" xfId="7" applyFont="1" applyFill="1" applyBorder="1">
      <alignment vertical="center"/>
    </xf>
    <xf numFmtId="0" fontId="177" fillId="0" borderId="0" xfId="7" applyFont="1" applyFill="1" applyBorder="1" applyAlignment="1">
      <alignment vertical="center" textRotation="255"/>
    </xf>
    <xf numFmtId="0" fontId="177" fillId="0" borderId="0" xfId="7" applyFont="1" applyFill="1" applyBorder="1" applyAlignment="1">
      <alignment vertical="center" wrapText="1"/>
    </xf>
    <xf numFmtId="0" fontId="178" fillId="0" borderId="0" xfId="0" applyFont="1" applyBorder="1" applyAlignment="1">
      <alignment vertical="center" textRotation="255" wrapText="1"/>
    </xf>
    <xf numFmtId="0" fontId="178" fillId="0" borderId="0" xfId="0" applyFont="1" applyBorder="1" applyAlignment="1">
      <alignment vertical="center" textRotation="255"/>
    </xf>
    <xf numFmtId="0" fontId="178" fillId="0" borderId="0" xfId="0" applyFont="1" applyBorder="1" applyAlignment="1">
      <alignment vertical="center" wrapText="1"/>
    </xf>
    <xf numFmtId="0" fontId="178" fillId="0" borderId="0" xfId="0" applyFont="1" applyBorder="1" applyAlignment="1">
      <alignment vertical="center"/>
    </xf>
    <xf numFmtId="0" fontId="177" fillId="0" borderId="0" xfId="7" applyFont="1" applyFill="1" applyBorder="1" applyAlignment="1">
      <alignment vertical="center" textRotation="255" wrapText="1"/>
    </xf>
    <xf numFmtId="0" fontId="129" fillId="0" borderId="0" xfId="7" applyFont="1" applyBorder="1" applyAlignment="1">
      <alignment vertical="center" textRotation="255"/>
    </xf>
    <xf numFmtId="0" fontId="120" fillId="0" borderId="0" xfId="7" applyFont="1" applyFill="1" applyBorder="1" applyAlignment="1">
      <alignment vertical="center" wrapText="1"/>
    </xf>
    <xf numFmtId="0" fontId="135" fillId="0" borderId="0" xfId="7" applyFont="1" applyBorder="1" applyAlignment="1">
      <alignment vertical="center" textRotation="255"/>
    </xf>
    <xf numFmtId="0" fontId="177" fillId="0" borderId="0" xfId="7" applyFont="1" applyFill="1" applyBorder="1" applyAlignment="1">
      <alignment vertical="center"/>
    </xf>
    <xf numFmtId="0" fontId="113" fillId="0" borderId="0" xfId="7" applyFont="1" applyBorder="1" applyAlignment="1">
      <alignment vertical="center"/>
    </xf>
    <xf numFmtId="0" fontId="179" fillId="0" borderId="0" xfId="0" applyFont="1" applyBorder="1" applyAlignment="1">
      <alignment vertical="center" wrapText="1"/>
    </xf>
    <xf numFmtId="0" fontId="121" fillId="0" borderId="124" xfId="0" applyFont="1" applyBorder="1" applyAlignment="1" applyProtection="1">
      <alignment horizontal="center" vertical="center"/>
    </xf>
    <xf numFmtId="0" fontId="101" fillId="0" borderId="97" xfId="0" applyFont="1" applyBorder="1" applyProtection="1">
      <alignment vertical="center"/>
    </xf>
    <xf numFmtId="0" fontId="111" fillId="0" borderId="0" xfId="0" applyFont="1" applyBorder="1" applyAlignment="1">
      <alignment horizontal="center" vertical="center"/>
    </xf>
    <xf numFmtId="0" fontId="101" fillId="0" borderId="3" xfId="0" applyFont="1" applyBorder="1" applyProtection="1">
      <alignment vertical="center"/>
    </xf>
    <xf numFmtId="0" fontId="101" fillId="0" borderId="2" xfId="0" applyFont="1" applyBorder="1" applyAlignment="1" applyProtection="1">
      <alignment horizontal="center" vertical="center"/>
    </xf>
    <xf numFmtId="0" fontId="124" fillId="0" borderId="2" xfId="0" applyFont="1" applyBorder="1" applyAlignment="1" applyProtection="1">
      <alignment horizontal="center" vertical="center"/>
    </xf>
    <xf numFmtId="0" fontId="101" fillId="0" borderId="0" xfId="0" applyFont="1" applyBorder="1" applyAlignment="1" applyProtection="1">
      <alignment horizontal="center" vertical="center"/>
    </xf>
    <xf numFmtId="0" fontId="101" fillId="0" borderId="0" xfId="0" applyFont="1" applyBorder="1" applyProtection="1">
      <alignment vertical="center"/>
    </xf>
    <xf numFmtId="0" fontId="101" fillId="0" borderId="10" xfId="0" applyFont="1" applyBorder="1" applyAlignment="1" applyProtection="1">
      <alignment horizontal="center" vertical="center"/>
    </xf>
    <xf numFmtId="0" fontId="101" fillId="0" borderId="0" xfId="0" applyFont="1" applyBorder="1" applyAlignment="1">
      <alignment horizontal="center" vertical="center"/>
    </xf>
    <xf numFmtId="0" fontId="117" fillId="0" borderId="10" xfId="0" applyFont="1" applyBorder="1" applyAlignment="1" applyProtection="1">
      <alignment horizontal="center" vertical="center"/>
    </xf>
    <xf numFmtId="178" fontId="124" fillId="0" borderId="2" xfId="0" applyNumberFormat="1" applyFont="1" applyBorder="1" applyAlignment="1" applyProtection="1">
      <alignment horizontal="center" vertical="center"/>
    </xf>
    <xf numFmtId="0" fontId="0" fillId="0" borderId="21" xfId="0" applyFont="1" applyBorder="1" applyAlignment="1">
      <alignment horizontal="center" vertical="center"/>
    </xf>
    <xf numFmtId="49" fontId="101" fillId="0" borderId="0" xfId="0" applyNumberFormat="1" applyFont="1" applyBorder="1" applyAlignment="1">
      <alignment horizontal="center" vertical="center"/>
    </xf>
    <xf numFmtId="0" fontId="135" fillId="0" borderId="54" xfId="0" applyFont="1" applyBorder="1" applyAlignment="1" applyProtection="1">
      <alignment horizontal="center" vertical="center"/>
      <protection locked="0"/>
    </xf>
    <xf numFmtId="0" fontId="121" fillId="0" borderId="0" xfId="0" applyFont="1" applyAlignment="1">
      <alignment horizontal="left" vertical="center"/>
    </xf>
    <xf numFmtId="0" fontId="138" fillId="0" borderId="0" xfId="0" applyFont="1" applyAlignment="1">
      <alignment horizontal="left" vertical="center" wrapText="1"/>
    </xf>
    <xf numFmtId="0" fontId="121" fillId="0" borderId="0" xfId="0" applyFont="1" applyBorder="1" applyAlignment="1">
      <alignment horizontal="left" vertical="center"/>
    </xf>
    <xf numFmtId="178" fontId="131" fillId="0" borderId="0" xfId="0" applyNumberFormat="1" applyFont="1" applyBorder="1" applyAlignment="1">
      <alignment horizontal="center" vertical="center"/>
    </xf>
    <xf numFmtId="38" fontId="146" fillId="0" borderId="26" xfId="1" applyFont="1" applyFill="1" applyBorder="1" applyAlignment="1" applyProtection="1">
      <alignment horizontal="right" vertical="center" shrinkToFit="1"/>
    </xf>
    <xf numFmtId="49" fontId="168" fillId="0" borderId="0" xfId="0" applyNumberFormat="1" applyFont="1" applyBorder="1" applyAlignment="1" applyProtection="1">
      <alignment vertical="center" wrapText="1"/>
    </xf>
    <xf numFmtId="0" fontId="113" fillId="0" borderId="264" xfId="0" applyFont="1" applyBorder="1" applyAlignment="1" applyProtection="1">
      <alignment vertical="center" wrapText="1"/>
    </xf>
    <xf numFmtId="0" fontId="130" fillId="4" borderId="39" xfId="0" applyNumberFormat="1" applyFont="1" applyFill="1" applyBorder="1" applyAlignment="1" applyProtection="1">
      <alignment horizontal="center" vertical="center" wrapText="1" shrinkToFit="1"/>
      <protection locked="0"/>
    </xf>
    <xf numFmtId="0" fontId="130" fillId="4" borderId="21" xfId="0" applyNumberFormat="1" applyFont="1" applyFill="1" applyBorder="1" applyAlignment="1" applyProtection="1">
      <alignment horizontal="center" vertical="center" wrapText="1" shrinkToFit="1"/>
      <protection locked="0"/>
    </xf>
    <xf numFmtId="180" fontId="111" fillId="0" borderId="44" xfId="0" applyNumberFormat="1" applyFont="1" applyFill="1" applyBorder="1" applyAlignment="1" applyProtection="1">
      <alignment horizontal="center" vertical="center" shrinkToFit="1"/>
      <protection locked="0"/>
    </xf>
    <xf numFmtId="38" fontId="151" fillId="0" borderId="13" xfId="2" applyFont="1" applyFill="1" applyBorder="1" applyAlignment="1" applyProtection="1">
      <alignment horizontal="right" vertical="center" shrinkToFit="1"/>
    </xf>
    <xf numFmtId="180" fontId="111" fillId="0" borderId="41" xfId="0" applyNumberFormat="1" applyFont="1" applyFill="1" applyBorder="1" applyAlignment="1" applyProtection="1">
      <alignment horizontal="center" vertical="center" shrinkToFit="1"/>
      <protection locked="0"/>
    </xf>
    <xf numFmtId="180" fontId="111" fillId="0" borderId="120" xfId="0" applyNumberFormat="1" applyFont="1" applyFill="1" applyBorder="1" applyAlignment="1" applyProtection="1">
      <alignment horizontal="center" vertical="center" shrinkToFit="1"/>
      <protection locked="0"/>
    </xf>
    <xf numFmtId="0" fontId="115" fillId="0" borderId="118" xfId="0" applyFont="1" applyFill="1" applyBorder="1" applyAlignment="1" applyProtection="1">
      <alignment horizontal="center" vertical="center"/>
      <protection locked="0"/>
    </xf>
    <xf numFmtId="180" fontId="111" fillId="0" borderId="119" xfId="0" applyNumberFormat="1" applyFont="1" applyFill="1" applyBorder="1" applyAlignment="1" applyProtection="1">
      <alignment horizontal="center" vertical="center" shrinkToFit="1"/>
      <protection locked="0"/>
    </xf>
    <xf numFmtId="0" fontId="46" fillId="0" borderId="0" xfId="0" applyFont="1" applyAlignment="1">
      <alignment horizontal="right" vertical="center"/>
    </xf>
    <xf numFmtId="178" fontId="124" fillId="0" borderId="2" xfId="0" applyNumberFormat="1" applyFont="1" applyBorder="1" applyAlignment="1" applyProtection="1">
      <alignment horizontal="center" vertical="center"/>
      <protection locked="0"/>
    </xf>
    <xf numFmtId="49" fontId="124" fillId="0" borderId="0" xfId="0" applyNumberFormat="1" applyFont="1" applyFill="1" applyBorder="1" applyAlignment="1">
      <alignment vertical="center"/>
    </xf>
    <xf numFmtId="0" fontId="101" fillId="0" borderId="24" xfId="0" applyFont="1" applyBorder="1" applyAlignment="1">
      <alignment vertical="center" shrinkToFit="1"/>
    </xf>
    <xf numFmtId="0" fontId="101" fillId="0" borderId="21" xfId="0" applyFont="1" applyBorder="1" applyAlignment="1">
      <alignment vertical="center" shrinkToFit="1"/>
    </xf>
    <xf numFmtId="0" fontId="47" fillId="0" borderId="21" xfId="0" applyFont="1" applyFill="1" applyBorder="1" applyAlignment="1">
      <alignment vertical="center"/>
    </xf>
    <xf numFmtId="0" fontId="47" fillId="0" borderId="54" xfId="0" applyFont="1" applyFill="1" applyBorder="1" applyAlignment="1">
      <alignment vertical="center"/>
    </xf>
    <xf numFmtId="0" fontId="48" fillId="0" borderId="12" xfId="0" applyFont="1" applyBorder="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120" fillId="0" borderId="0" xfId="0" applyFont="1" applyAlignment="1">
      <alignment horizontal="center" vertical="center"/>
    </xf>
    <xf numFmtId="0" fontId="120" fillId="0" borderId="0" xfId="0" applyFont="1" applyAlignment="1">
      <alignment horizontal="left" vertical="center"/>
    </xf>
    <xf numFmtId="180" fontId="111" fillId="0" borderId="259" xfId="0" applyNumberFormat="1" applyFont="1" applyFill="1" applyBorder="1" applyAlignment="1" applyProtection="1">
      <alignment horizontal="center" vertical="center" shrinkToFit="1"/>
      <protection locked="0"/>
    </xf>
    <xf numFmtId="189" fontId="115" fillId="0" borderId="32" xfId="0" applyNumberFormat="1" applyFont="1" applyFill="1" applyBorder="1" applyAlignment="1" applyProtection="1">
      <alignment horizontal="center" vertical="center" shrinkToFit="1"/>
    </xf>
    <xf numFmtId="189" fontId="115" fillId="0" borderId="296" xfId="0" applyNumberFormat="1" applyFont="1" applyFill="1" applyBorder="1" applyAlignment="1" applyProtection="1">
      <alignment horizontal="center" vertical="center" shrinkToFit="1"/>
    </xf>
    <xf numFmtId="49" fontId="116" fillId="0" borderId="31" xfId="3" applyNumberFormat="1" applyFont="1" applyFill="1" applyBorder="1" applyAlignment="1" applyProtection="1">
      <alignment horizontal="center" vertical="center" shrinkToFit="1"/>
    </xf>
    <xf numFmtId="38" fontId="116" fillId="0" borderId="31" xfId="3" applyFont="1" applyFill="1" applyBorder="1" applyAlignment="1" applyProtection="1">
      <alignment horizontal="right" vertical="center" shrinkToFit="1"/>
    </xf>
    <xf numFmtId="49" fontId="116" fillId="0" borderId="32" xfId="3" applyNumberFormat="1" applyFont="1" applyFill="1" applyBorder="1" applyAlignment="1" applyProtection="1">
      <alignment horizontal="center" vertical="center" shrinkToFit="1"/>
    </xf>
    <xf numFmtId="38" fontId="116" fillId="0" borderId="305" xfId="3" applyFont="1" applyFill="1" applyBorder="1" applyAlignment="1" applyProtection="1">
      <alignment horizontal="right" vertical="center" shrinkToFit="1"/>
    </xf>
    <xf numFmtId="189" fontId="115" fillId="0" borderId="297" xfId="3" applyNumberFormat="1" applyFont="1" applyFill="1" applyBorder="1" applyAlignment="1" applyProtection="1">
      <alignment horizontal="center" vertical="center" shrinkToFit="1"/>
    </xf>
    <xf numFmtId="189" fontId="115" fillId="0" borderId="30" xfId="3" applyNumberFormat="1" applyFont="1" applyFill="1" applyBorder="1" applyAlignment="1" applyProtection="1">
      <alignment horizontal="center" vertical="center" shrinkToFit="1"/>
    </xf>
    <xf numFmtId="189" fontId="115" fillId="0" borderId="296" xfId="3" applyNumberFormat="1" applyFont="1" applyFill="1" applyBorder="1" applyAlignment="1" applyProtection="1">
      <alignment horizontal="center" vertical="center" shrinkToFit="1"/>
    </xf>
    <xf numFmtId="49" fontId="116" fillId="0" borderId="33" xfId="3" applyNumberFormat="1" applyFont="1" applyFill="1" applyBorder="1" applyAlignment="1" applyProtection="1">
      <alignment horizontal="center" vertical="center" shrinkToFit="1"/>
    </xf>
    <xf numFmtId="38" fontId="116" fillId="0" borderId="306" xfId="3" applyFont="1" applyFill="1" applyBorder="1" applyAlignment="1" applyProtection="1">
      <alignment horizontal="right" vertical="center" shrinkToFit="1"/>
    </xf>
    <xf numFmtId="180" fontId="151" fillId="0" borderId="308" xfId="0" applyNumberFormat="1" applyFont="1" applyFill="1" applyBorder="1" applyAlignment="1" applyProtection="1">
      <alignment horizontal="center" vertical="center" shrinkToFit="1"/>
    </xf>
    <xf numFmtId="189" fontId="141" fillId="0" borderId="234" xfId="0" applyNumberFormat="1" applyFont="1" applyFill="1" applyBorder="1" applyAlignment="1" applyProtection="1">
      <alignment horizontal="center" vertical="center" shrinkToFit="1"/>
    </xf>
    <xf numFmtId="0" fontId="130" fillId="4" borderId="88" xfId="0" applyNumberFormat="1" applyFont="1" applyFill="1" applyBorder="1" applyAlignment="1" applyProtection="1">
      <alignment horizontal="center" vertical="center" wrapText="1" shrinkToFit="1"/>
      <protection locked="0"/>
    </xf>
    <xf numFmtId="38" fontId="146" fillId="0" borderId="89" xfId="1" applyFont="1" applyFill="1" applyBorder="1" applyAlignment="1" applyProtection="1">
      <alignment horizontal="right" vertical="center" shrinkToFit="1"/>
    </xf>
    <xf numFmtId="38" fontId="146" fillId="0" borderId="237" xfId="1" applyFont="1" applyFill="1" applyBorder="1" applyAlignment="1" applyProtection="1">
      <alignment horizontal="right" vertical="center" shrinkToFit="1"/>
    </xf>
    <xf numFmtId="0" fontId="101" fillId="0" borderId="310" xfId="0" applyFont="1" applyBorder="1">
      <alignment vertical="center"/>
    </xf>
    <xf numFmtId="0" fontId="135" fillId="0" borderId="232" xfId="0" applyFont="1" applyBorder="1" applyAlignment="1" applyProtection="1">
      <alignment horizontal="center" vertical="center"/>
      <protection locked="0"/>
    </xf>
    <xf numFmtId="0" fontId="130" fillId="4" borderId="80" xfId="0" applyNumberFormat="1" applyFont="1" applyFill="1" applyBorder="1" applyAlignment="1" applyProtection="1">
      <alignment horizontal="center" vertical="center" shrinkToFit="1"/>
      <protection locked="0"/>
    </xf>
    <xf numFmtId="0" fontId="130" fillId="4" borderId="147" xfId="0" applyNumberFormat="1" applyFont="1" applyFill="1" applyBorder="1" applyAlignment="1" applyProtection="1">
      <alignment horizontal="center" vertical="center" shrinkToFit="1"/>
      <protection locked="0"/>
    </xf>
    <xf numFmtId="0" fontId="101" fillId="0" borderId="10" xfId="0" applyFont="1" applyBorder="1" applyAlignment="1">
      <alignment horizontal="center" vertical="center"/>
    </xf>
    <xf numFmtId="0" fontId="101" fillId="0" borderId="0" xfId="0" applyFont="1" applyAlignment="1">
      <alignment horizontal="center" vertical="center"/>
    </xf>
    <xf numFmtId="0" fontId="121" fillId="0" borderId="2" xfId="0" applyFont="1" applyBorder="1" applyAlignment="1">
      <alignment horizontal="center" vertical="center"/>
    </xf>
    <xf numFmtId="0" fontId="121" fillId="0" borderId="10" xfId="0" applyFont="1" applyBorder="1" applyAlignment="1">
      <alignment horizontal="center" vertical="center"/>
    </xf>
    <xf numFmtId="0" fontId="135" fillId="0" borderId="54" xfId="0" applyFont="1" applyBorder="1" applyAlignment="1" applyProtection="1">
      <alignment horizontal="center" vertical="center"/>
      <protection locked="0"/>
    </xf>
    <xf numFmtId="38" fontId="146" fillId="0" borderId="26" xfId="1" applyFont="1" applyFill="1" applyBorder="1" applyAlignment="1" applyProtection="1">
      <alignment horizontal="right" vertical="center" shrinkToFit="1"/>
    </xf>
    <xf numFmtId="38" fontId="151" fillId="12" borderId="2" xfId="2" applyFont="1" applyFill="1" applyBorder="1" applyAlignment="1" applyProtection="1">
      <alignment vertical="center" shrinkToFit="1"/>
    </xf>
    <xf numFmtId="38" fontId="151" fillId="12" borderId="3" xfId="2" applyFont="1" applyFill="1" applyBorder="1" applyAlignment="1" applyProtection="1">
      <alignment vertical="center" shrinkToFit="1"/>
    </xf>
    <xf numFmtId="38" fontId="151" fillId="0" borderId="13" xfId="2" applyFont="1" applyFill="1" applyBorder="1" applyAlignment="1" applyProtection="1">
      <alignment horizontal="right" vertical="center" shrinkToFit="1"/>
    </xf>
    <xf numFmtId="49" fontId="121" fillId="0" borderId="0" xfId="0" applyNumberFormat="1" applyFont="1" applyBorder="1" applyAlignment="1">
      <alignment horizontal="center" vertical="center"/>
    </xf>
    <xf numFmtId="49" fontId="121" fillId="0" borderId="10" xfId="0" applyNumberFormat="1" applyFont="1" applyBorder="1" applyAlignment="1">
      <alignment horizontal="center" vertical="center"/>
    </xf>
    <xf numFmtId="49" fontId="121" fillId="0" borderId="15" xfId="0" applyNumberFormat="1" applyFont="1" applyBorder="1" applyAlignment="1">
      <alignment horizontal="center" vertical="center"/>
    </xf>
    <xf numFmtId="49" fontId="121" fillId="0" borderId="13" xfId="0" applyNumberFormat="1" applyFont="1" applyBorder="1" applyAlignment="1">
      <alignment horizontal="center" vertical="center"/>
    </xf>
    <xf numFmtId="49" fontId="121" fillId="0" borderId="12" xfId="0" applyNumberFormat="1" applyFont="1" applyBorder="1" applyAlignment="1">
      <alignment horizontal="center" vertical="center"/>
    </xf>
    <xf numFmtId="49" fontId="121" fillId="0" borderId="17" xfId="0" applyNumberFormat="1" applyFont="1" applyBorder="1" applyAlignment="1">
      <alignment horizontal="center" vertical="center"/>
    </xf>
    <xf numFmtId="178" fontId="121" fillId="0" borderId="17" xfId="0" applyNumberFormat="1" applyFont="1" applyBorder="1" applyAlignment="1">
      <alignment horizontal="center" vertical="center"/>
    </xf>
    <xf numFmtId="179" fontId="116" fillId="0" borderId="21" xfId="3" applyNumberFormat="1" applyFont="1" applyFill="1" applyBorder="1" applyAlignment="1" applyProtection="1">
      <alignment horizontal="right" vertical="center" shrinkToFit="1"/>
    </xf>
    <xf numFmtId="189" fontId="115" fillId="0" borderId="90" xfId="0" applyNumberFormat="1" applyFont="1" applyFill="1" applyBorder="1" applyAlignment="1" applyProtection="1">
      <alignment horizontal="center" vertical="center" shrinkToFit="1"/>
    </xf>
    <xf numFmtId="189" fontId="115" fillId="0" borderId="311" xfId="0" applyNumberFormat="1" applyFont="1" applyFill="1" applyBorder="1" applyAlignment="1" applyProtection="1">
      <alignment horizontal="center" vertical="center" shrinkToFit="1"/>
    </xf>
    <xf numFmtId="179" fontId="116" fillId="0" borderId="182" xfId="3" applyNumberFormat="1" applyFont="1" applyFill="1" applyBorder="1" applyAlignment="1" applyProtection="1">
      <alignment horizontal="right" vertical="center" shrinkToFit="1"/>
    </xf>
    <xf numFmtId="179" fontId="116" fillId="0" borderId="292" xfId="3" applyNumberFormat="1" applyFont="1" applyFill="1" applyBorder="1" applyAlignment="1" applyProtection="1">
      <alignment horizontal="right" vertical="center" shrinkToFit="1"/>
    </xf>
    <xf numFmtId="179" fontId="116" fillId="0" borderId="312" xfId="3" applyNumberFormat="1" applyFont="1" applyFill="1" applyBorder="1" applyAlignment="1" applyProtection="1">
      <alignment horizontal="right" vertical="center" shrinkToFit="1"/>
    </xf>
    <xf numFmtId="180" fontId="111" fillId="0" borderId="219" xfId="0" applyNumberFormat="1" applyFont="1" applyFill="1" applyBorder="1" applyAlignment="1" applyProtection="1">
      <alignment horizontal="center" vertical="center" shrinkToFit="1"/>
      <protection locked="0"/>
    </xf>
    <xf numFmtId="180" fontId="111" fillId="0" borderId="107" xfId="0" applyNumberFormat="1" applyFont="1" applyFill="1" applyBorder="1" applyAlignment="1" applyProtection="1">
      <alignment horizontal="center" vertical="center" shrinkToFit="1"/>
      <protection locked="0"/>
    </xf>
    <xf numFmtId="180" fontId="111" fillId="0" borderId="26" xfId="0" applyNumberFormat="1" applyFont="1" applyFill="1" applyBorder="1" applyAlignment="1" applyProtection="1">
      <alignment horizontal="center" vertical="center" shrinkToFit="1"/>
      <protection locked="0"/>
    </xf>
    <xf numFmtId="38" fontId="111" fillId="0" borderId="38" xfId="2" applyFont="1" applyFill="1" applyBorder="1" applyAlignment="1" applyProtection="1">
      <alignment horizontal="center" vertical="center" shrinkToFit="1"/>
      <protection locked="0"/>
    </xf>
    <xf numFmtId="180" fontId="111" fillId="0" borderId="123" xfId="0" applyNumberFormat="1" applyFont="1" applyFill="1" applyBorder="1" applyAlignment="1" applyProtection="1">
      <alignment horizontal="center" vertical="center" shrinkToFit="1"/>
      <protection locked="0"/>
    </xf>
    <xf numFmtId="38" fontId="111" fillId="0" borderId="121" xfId="2" applyFont="1" applyFill="1" applyBorder="1" applyAlignment="1" applyProtection="1">
      <alignment horizontal="center" vertical="center" shrinkToFit="1"/>
      <protection locked="0"/>
    </xf>
    <xf numFmtId="180" fontId="111" fillId="0" borderId="295" xfId="0" applyNumberFormat="1" applyFont="1" applyFill="1" applyBorder="1" applyAlignment="1" applyProtection="1">
      <alignment horizontal="center" vertical="center" shrinkToFit="1"/>
      <protection locked="0"/>
    </xf>
    <xf numFmtId="180" fontId="111" fillId="0" borderId="303" xfId="0" applyNumberFormat="1" applyFont="1" applyFill="1" applyBorder="1" applyAlignment="1" applyProtection="1">
      <alignment horizontal="center" vertical="center" shrinkToFit="1"/>
      <protection locked="0"/>
    </xf>
    <xf numFmtId="38" fontId="146" fillId="0" borderId="237" xfId="1" applyFont="1" applyFill="1" applyBorder="1" applyAlignment="1" applyProtection="1">
      <alignment horizontal="right" vertical="center" shrinkToFit="1"/>
    </xf>
    <xf numFmtId="38" fontId="151" fillId="0" borderId="3" xfId="1" applyFont="1" applyFill="1" applyBorder="1" applyAlignment="1" applyProtection="1">
      <alignment horizontal="right" vertical="center" shrinkToFit="1"/>
    </xf>
    <xf numFmtId="0" fontId="45" fillId="0" borderId="0" xfId="0" applyFont="1" applyAlignment="1"/>
    <xf numFmtId="0" fontId="43" fillId="0" borderId="0" xfId="0" applyFont="1" applyAlignment="1"/>
    <xf numFmtId="178" fontId="113" fillId="0" borderId="34" xfId="0" applyNumberFormat="1" applyFont="1" applyBorder="1" applyAlignment="1">
      <alignment horizontal="center" vertical="center" shrinkToFit="1"/>
    </xf>
    <xf numFmtId="178" fontId="120" fillId="0" borderId="21" xfId="0" applyNumberFormat="1" applyFont="1" applyBorder="1" applyAlignment="1">
      <alignment horizontal="center" vertical="center" wrapText="1" shrinkToFit="1"/>
    </xf>
    <xf numFmtId="178" fontId="120" fillId="0" borderId="53" xfId="0" applyNumberFormat="1" applyFont="1" applyBorder="1" applyAlignment="1">
      <alignment horizontal="center" vertical="center" wrapText="1" shrinkToFit="1"/>
    </xf>
    <xf numFmtId="0" fontId="143" fillId="0" borderId="35" xfId="0" applyFont="1" applyBorder="1" applyAlignment="1">
      <alignment horizontal="center" vertical="center"/>
    </xf>
    <xf numFmtId="178" fontId="143" fillId="0" borderId="35" xfId="0" applyNumberFormat="1" applyFont="1" applyBorder="1" applyAlignment="1">
      <alignment horizontal="right" vertical="center"/>
    </xf>
    <xf numFmtId="0" fontId="143" fillId="0" borderId="35" xfId="0" applyFont="1" applyBorder="1" applyAlignment="1">
      <alignment horizontal="right" vertical="center"/>
    </xf>
    <xf numFmtId="178" fontId="143" fillId="0" borderId="36" xfId="0" applyNumberFormat="1" applyFont="1" applyBorder="1" applyAlignment="1">
      <alignment horizontal="center" vertical="center"/>
    </xf>
    <xf numFmtId="178" fontId="143" fillId="0" borderId="35" xfId="0" applyNumberFormat="1" applyFont="1" applyBorder="1" applyAlignment="1">
      <alignment horizontal="center" vertical="center"/>
    </xf>
    <xf numFmtId="178" fontId="120" fillId="0" borderId="15" xfId="0" applyNumberFormat="1" applyFont="1" applyBorder="1" applyAlignment="1">
      <alignment vertical="center" textRotation="255" shrinkToFit="1"/>
    </xf>
    <xf numFmtId="178" fontId="120" fillId="0" borderId="34" xfId="0" applyNumberFormat="1" applyFont="1" applyBorder="1" applyAlignment="1">
      <alignment vertical="center" textRotation="255" shrinkToFit="1"/>
    </xf>
    <xf numFmtId="178" fontId="113" fillId="0" borderId="38" xfId="0" applyNumberFormat="1" applyFont="1" applyBorder="1" applyAlignment="1">
      <alignment horizontal="center" vertical="center" shrinkToFit="1"/>
    </xf>
    <xf numFmtId="178" fontId="120" fillId="0" borderId="246" xfId="0" applyNumberFormat="1" applyFont="1" applyBorder="1" applyAlignment="1">
      <alignment horizontal="center" vertical="center" shrinkToFit="1"/>
    </xf>
    <xf numFmtId="178" fontId="120" fillId="0" borderId="57" xfId="0" applyNumberFormat="1" applyFont="1" applyBorder="1" applyAlignment="1">
      <alignment horizontal="center" vertical="center" shrinkToFit="1"/>
    </xf>
    <xf numFmtId="0" fontId="27" fillId="0" borderId="12" xfId="0" applyFont="1" applyBorder="1" applyAlignment="1">
      <alignment vertical="center" wrapText="1"/>
    </xf>
    <xf numFmtId="178" fontId="116" fillId="0" borderId="233" xfId="0" applyNumberFormat="1" applyFont="1" applyBorder="1" applyAlignment="1">
      <alignment vertical="center" shrinkToFit="1"/>
    </xf>
    <xf numFmtId="178" fontId="116" fillId="0" borderId="233" xfId="0" applyNumberFormat="1" applyFont="1" applyBorder="1" applyAlignment="1">
      <alignment horizontal="center" vertical="center" shrinkToFit="1"/>
    </xf>
    <xf numFmtId="176" fontId="115" fillId="0" borderId="25" xfId="0" applyNumberFormat="1" applyFont="1" applyBorder="1" applyAlignment="1">
      <alignment horizontal="center" vertical="center" shrinkToFit="1"/>
    </xf>
    <xf numFmtId="176" fontId="111" fillId="0" borderId="41" xfId="0" applyNumberFormat="1" applyFont="1" applyBorder="1" applyAlignment="1" applyProtection="1">
      <alignment horizontal="center" vertical="center" shrinkToFit="1"/>
      <protection locked="0"/>
    </xf>
    <xf numFmtId="176" fontId="111" fillId="0" borderId="42" xfId="0" applyNumberFormat="1" applyFont="1" applyBorder="1" applyAlignment="1" applyProtection="1">
      <alignment horizontal="center" vertical="center" shrinkToFit="1"/>
      <protection locked="0"/>
    </xf>
    <xf numFmtId="178" fontId="116" fillId="0" borderId="75" xfId="0" applyNumberFormat="1" applyFont="1" applyBorder="1" applyAlignment="1">
      <alignment vertical="center" shrinkToFit="1"/>
    </xf>
    <xf numFmtId="178" fontId="116" fillId="0" borderId="75" xfId="0" applyNumberFormat="1" applyFont="1" applyBorder="1" applyAlignment="1">
      <alignment horizontal="center" vertical="center" shrinkToFit="1"/>
    </xf>
    <xf numFmtId="176" fontId="111" fillId="0" borderId="44" xfId="0" applyNumberFormat="1" applyFont="1" applyBorder="1" applyAlignment="1" applyProtection="1">
      <alignment horizontal="center" vertical="center" shrinkToFit="1"/>
      <protection locked="0"/>
    </xf>
    <xf numFmtId="176" fontId="111" fillId="0" borderId="45" xfId="0" applyNumberFormat="1" applyFont="1" applyBorder="1" applyAlignment="1" applyProtection="1">
      <alignment horizontal="center" vertical="center" shrinkToFit="1"/>
      <protection locked="0"/>
    </xf>
    <xf numFmtId="0" fontId="120" fillId="0" borderId="34" xfId="0" applyFont="1" applyBorder="1" applyAlignment="1">
      <alignment horizontal="center" vertical="center"/>
    </xf>
    <xf numFmtId="0" fontId="146" fillId="0" borderId="0" xfId="0" applyFont="1" applyAlignment="1">
      <alignment vertical="center" wrapText="1"/>
    </xf>
    <xf numFmtId="0" fontId="147" fillId="0" borderId="0" xfId="0" applyFont="1" applyAlignment="1" applyProtection="1">
      <alignment vertical="center" wrapText="1"/>
      <protection locked="0"/>
    </xf>
    <xf numFmtId="0" fontId="87" fillId="0" borderId="12" xfId="0" applyFont="1" applyBorder="1" applyAlignment="1" applyProtection="1">
      <alignment vertical="center" wrapText="1"/>
      <protection locked="0"/>
    </xf>
    <xf numFmtId="0" fontId="78" fillId="0" borderId="0" xfId="0" applyFont="1" applyAlignment="1" applyProtection="1">
      <protection locked="0"/>
    </xf>
    <xf numFmtId="178" fontId="116" fillId="0" borderId="248" xfId="0" applyNumberFormat="1" applyFont="1" applyBorder="1" applyAlignment="1">
      <alignment vertical="center" shrinkToFit="1"/>
    </xf>
    <xf numFmtId="178" fontId="116" fillId="0" borderId="248" xfId="0" applyNumberFormat="1" applyFont="1" applyBorder="1" applyAlignment="1">
      <alignment horizontal="center" vertical="center" shrinkToFit="1"/>
    </xf>
    <xf numFmtId="176" fontId="115" fillId="0" borderId="249" xfId="0" applyNumberFormat="1" applyFont="1" applyBorder="1" applyAlignment="1">
      <alignment horizontal="center" vertical="center" shrinkToFit="1"/>
    </xf>
    <xf numFmtId="0" fontId="129" fillId="0" borderId="34" xfId="0" applyFont="1" applyBorder="1" applyAlignment="1">
      <alignment horizontal="center" vertical="center"/>
    </xf>
    <xf numFmtId="0" fontId="129" fillId="0" borderId="21" xfId="0" applyFont="1" applyBorder="1" applyAlignment="1">
      <alignment horizontal="center" vertical="center" wrapText="1" shrinkToFit="1"/>
    </xf>
    <xf numFmtId="0" fontId="129" fillId="0" borderId="53" xfId="0" applyFont="1" applyBorder="1" applyAlignment="1">
      <alignment horizontal="center" vertical="center" wrapText="1" shrinkToFit="1"/>
    </xf>
    <xf numFmtId="0" fontId="129" fillId="0" borderId="21" xfId="0" applyFont="1" applyBorder="1" applyAlignment="1">
      <alignment horizontal="center" vertical="center" wrapText="1"/>
    </xf>
    <xf numFmtId="0" fontId="129" fillId="0" borderId="39" xfId="0" applyFont="1" applyBorder="1" applyAlignment="1">
      <alignment horizontal="center" vertical="center"/>
    </xf>
    <xf numFmtId="176" fontId="115" fillId="0" borderId="235" xfId="0" applyNumberFormat="1" applyFont="1" applyBorder="1" applyAlignment="1">
      <alignment horizontal="center" vertical="center" shrinkToFit="1"/>
    </xf>
    <xf numFmtId="176" fontId="111" fillId="0" borderId="122" xfId="0" applyNumberFormat="1" applyFont="1" applyBorder="1" applyAlignment="1" applyProtection="1">
      <alignment horizontal="center" vertical="center" shrinkToFit="1"/>
      <protection locked="0"/>
    </xf>
    <xf numFmtId="189" fontId="115" fillId="0" borderId="33" xfId="0" applyNumberFormat="1" applyFont="1" applyBorder="1" applyAlignment="1">
      <alignment horizontal="center" vertical="center" shrinkToFit="1"/>
    </xf>
    <xf numFmtId="0" fontId="115" fillId="0" borderId="118" xfId="0" applyFont="1" applyBorder="1" applyAlignment="1" applyProtection="1">
      <alignment horizontal="center" vertical="center"/>
      <protection locked="0"/>
    </xf>
    <xf numFmtId="181" fontId="115" fillId="0" borderId="27" xfId="0" applyNumberFormat="1" applyFont="1" applyBorder="1" applyAlignment="1">
      <alignment horizontal="center" vertical="center" shrinkToFit="1"/>
    </xf>
    <xf numFmtId="176" fontId="111" fillId="0" borderId="28" xfId="0" applyNumberFormat="1" applyFont="1" applyBorder="1" applyAlignment="1" applyProtection="1">
      <alignment horizontal="center" vertical="center" shrinkToFit="1"/>
      <protection locked="0"/>
    </xf>
    <xf numFmtId="179" fontId="45" fillId="0" borderId="292" xfId="3" applyNumberFormat="1" applyFont="1" applyFill="1" applyBorder="1" applyAlignment="1" applyProtection="1">
      <alignment horizontal="right" vertical="center" shrinkToFit="1"/>
    </xf>
    <xf numFmtId="189" fontId="115" fillId="0" borderId="30" xfId="0" applyNumberFormat="1" applyFont="1" applyBorder="1" applyAlignment="1">
      <alignment horizontal="center" vertical="center" shrinkToFit="1"/>
    </xf>
    <xf numFmtId="180" fontId="111" fillId="0" borderId="119" xfId="0" applyNumberFormat="1" applyFont="1" applyBorder="1" applyAlignment="1" applyProtection="1">
      <alignment horizontal="center" vertical="center" shrinkToFit="1"/>
      <protection locked="0"/>
    </xf>
    <xf numFmtId="176" fontId="115" fillId="0" borderId="27" xfId="0" applyNumberFormat="1" applyFont="1" applyBorder="1" applyAlignment="1">
      <alignment horizontal="center" vertical="center" shrinkToFit="1"/>
    </xf>
    <xf numFmtId="180" fontId="111" fillId="0" borderId="259" xfId="0" applyNumberFormat="1" applyFont="1" applyBorder="1" applyAlignment="1" applyProtection="1">
      <alignment horizontal="center" vertical="center" shrinkToFit="1"/>
      <protection locked="0"/>
    </xf>
    <xf numFmtId="189" fontId="115" fillId="0" borderId="32" xfId="0" applyNumberFormat="1" applyFont="1" applyBorder="1" applyAlignment="1">
      <alignment horizontal="center" vertical="center" shrinkToFit="1"/>
    </xf>
    <xf numFmtId="180" fontId="111" fillId="0" borderId="295" xfId="0" applyNumberFormat="1" applyFont="1" applyBorder="1" applyAlignment="1" applyProtection="1">
      <alignment horizontal="center" vertical="center" shrinkToFit="1"/>
      <protection locked="0"/>
    </xf>
    <xf numFmtId="179" fontId="116" fillId="0" borderId="315" xfId="3" applyNumberFormat="1" applyFont="1" applyFill="1" applyBorder="1" applyAlignment="1" applyProtection="1">
      <alignment horizontal="right" vertical="center" shrinkToFit="1"/>
    </xf>
    <xf numFmtId="189" fontId="115" fillId="0" borderId="296" xfId="0" applyNumberFormat="1" applyFont="1" applyBorder="1" applyAlignment="1">
      <alignment horizontal="center" vertical="center" shrinkToFit="1"/>
    </xf>
    <xf numFmtId="180" fontId="111" fillId="0" borderId="120" xfId="0" applyNumberFormat="1" applyFont="1" applyBorder="1" applyAlignment="1" applyProtection="1">
      <alignment horizontal="center" vertical="center" shrinkToFit="1"/>
      <protection locked="0"/>
    </xf>
    <xf numFmtId="180" fontId="111" fillId="0" borderId="303" xfId="0" applyNumberFormat="1" applyFont="1" applyBorder="1" applyAlignment="1" applyProtection="1">
      <alignment horizontal="center" vertical="center" shrinkToFit="1"/>
      <protection locked="0"/>
    </xf>
    <xf numFmtId="189" fontId="141" fillId="0" borderId="234" xfId="0" applyNumberFormat="1" applyFont="1" applyBorder="1" applyAlignment="1">
      <alignment horizontal="center" vertical="center" shrinkToFit="1"/>
    </xf>
    <xf numFmtId="38" fontId="151" fillId="0" borderId="156" xfId="2" applyFont="1" applyFill="1" applyBorder="1" applyAlignment="1" applyProtection="1">
      <alignment horizontal="right" vertical="center" shrinkToFit="1"/>
    </xf>
    <xf numFmtId="180" fontId="111" fillId="0" borderId="41" xfId="0" applyNumberFormat="1" applyFont="1" applyBorder="1" applyAlignment="1" applyProtection="1">
      <alignment horizontal="center" vertical="center" shrinkToFit="1"/>
      <protection locked="0"/>
    </xf>
    <xf numFmtId="180" fontId="111" fillId="0" borderId="44" xfId="0" applyNumberFormat="1" applyFont="1" applyBorder="1" applyAlignment="1" applyProtection="1">
      <alignment horizontal="center" vertical="center" shrinkToFit="1"/>
      <protection locked="0"/>
    </xf>
    <xf numFmtId="0" fontId="78" fillId="0" borderId="0" xfId="0" applyFont="1" applyAlignment="1"/>
    <xf numFmtId="0" fontId="43" fillId="0" borderId="13" xfId="0" applyFont="1" applyBorder="1" applyAlignment="1"/>
    <xf numFmtId="180" fontId="111" fillId="0" borderId="219" xfId="0" applyNumberFormat="1" applyFont="1" applyBorder="1" applyAlignment="1" applyProtection="1">
      <alignment horizontal="center" vertical="center" shrinkToFit="1"/>
      <protection locked="0"/>
    </xf>
    <xf numFmtId="180" fontId="111" fillId="0" borderId="28" xfId="0" applyNumberFormat="1" applyFont="1" applyBorder="1" applyAlignment="1" applyProtection="1">
      <alignment horizontal="center" vertical="center" shrinkToFit="1"/>
      <protection locked="0"/>
    </xf>
    <xf numFmtId="176" fontId="115" fillId="0" borderId="92" xfId="0" applyNumberFormat="1" applyFont="1" applyBorder="1" applyAlignment="1">
      <alignment horizontal="center" vertical="center" shrinkToFit="1"/>
    </xf>
    <xf numFmtId="176" fontId="111" fillId="0" borderId="26" xfId="0" applyNumberFormat="1" applyFont="1" applyBorder="1" applyAlignment="1" applyProtection="1">
      <alignment vertical="center" shrinkToFit="1"/>
      <protection locked="0"/>
    </xf>
    <xf numFmtId="176" fontId="111" fillId="0" borderId="47" xfId="0" applyNumberFormat="1" applyFont="1" applyBorder="1" applyAlignment="1" applyProtection="1">
      <alignment vertical="center" shrinkToFit="1"/>
      <protection locked="0"/>
    </xf>
    <xf numFmtId="180" fontId="111" fillId="0" borderId="107" xfId="0" applyNumberFormat="1" applyFont="1" applyBorder="1" applyAlignment="1" applyProtection="1">
      <alignment horizontal="center" vertical="center" shrinkToFit="1"/>
      <protection locked="0"/>
    </xf>
    <xf numFmtId="180" fontId="111" fillId="0" borderId="26" xfId="0" applyNumberFormat="1" applyFont="1" applyBorder="1" applyAlignment="1" applyProtection="1">
      <alignment horizontal="center" vertical="center" shrinkToFit="1"/>
      <protection locked="0"/>
    </xf>
    <xf numFmtId="176" fontId="115" fillId="0" borderId="201" xfId="0" applyNumberFormat="1" applyFont="1" applyBorder="1" applyAlignment="1">
      <alignment horizontal="center" vertical="center" shrinkToFit="1"/>
    </xf>
    <xf numFmtId="176" fontId="111" fillId="0" borderId="28" xfId="0" applyNumberFormat="1" applyFont="1" applyBorder="1" applyAlignment="1" applyProtection="1">
      <alignment vertical="center" shrinkToFit="1"/>
      <protection locked="0"/>
    </xf>
    <xf numFmtId="176" fontId="111" fillId="0" borderId="45" xfId="0" applyNumberFormat="1" applyFont="1" applyBorder="1" applyAlignment="1" applyProtection="1">
      <alignment vertical="center" shrinkToFit="1"/>
      <protection locked="0"/>
    </xf>
    <xf numFmtId="0" fontId="43" fillId="0" borderId="101" xfId="0" applyFont="1" applyBorder="1" applyAlignment="1"/>
    <xf numFmtId="38" fontId="149" fillId="0" borderId="38" xfId="2" applyFont="1" applyFill="1" applyBorder="1" applyAlignment="1" applyProtection="1">
      <alignment horizontal="center" vertical="center" shrinkToFit="1"/>
      <protection locked="0"/>
    </xf>
    <xf numFmtId="38" fontId="43" fillId="0" borderId="101" xfId="0" applyNumberFormat="1" applyFont="1" applyBorder="1" applyAlignment="1"/>
    <xf numFmtId="180" fontId="111" fillId="0" borderId="123" xfId="0" applyNumberFormat="1" applyFont="1" applyBorder="1" applyAlignment="1" applyProtection="1">
      <alignment horizontal="center" vertical="center" shrinkToFit="1"/>
      <protection locked="0"/>
    </xf>
    <xf numFmtId="0" fontId="24" fillId="0" borderId="0" xfId="0" applyFont="1">
      <alignment vertical="center"/>
    </xf>
    <xf numFmtId="0" fontId="53" fillId="0" borderId="0" xfId="0" applyFont="1" applyAlignment="1">
      <alignment vertical="center" textRotation="255" wrapText="1"/>
    </xf>
    <xf numFmtId="0" fontId="46" fillId="0" borderId="0" xfId="0" applyFont="1" applyAlignment="1">
      <alignment vertical="center" justifyLastLine="1"/>
    </xf>
    <xf numFmtId="0" fontId="45" fillId="0" borderId="0" xfId="0" applyFont="1" applyAlignment="1">
      <alignment vertical="center" wrapText="1" justifyLastLine="1"/>
    </xf>
    <xf numFmtId="0" fontId="45" fillId="0" borderId="0" xfId="0" applyFont="1" applyAlignment="1">
      <alignment vertical="center" justifyLastLine="1"/>
    </xf>
    <xf numFmtId="0" fontId="50" fillId="0" borderId="0" xfId="0" applyFont="1">
      <alignment vertical="center"/>
    </xf>
    <xf numFmtId="178" fontId="42" fillId="0" borderId="0" xfId="0" applyNumberFormat="1" applyFont="1" applyAlignment="1">
      <alignment vertical="center" shrinkToFit="1"/>
    </xf>
    <xf numFmtId="0" fontId="54" fillId="0" borderId="0" xfId="0" applyFont="1" applyAlignment="1">
      <alignment horizontal="center" vertical="center" shrinkToFit="1"/>
    </xf>
    <xf numFmtId="0" fontId="55" fillId="0" borderId="0" xfId="0" applyFont="1" applyAlignment="1">
      <alignment horizontal="center" vertical="center"/>
    </xf>
    <xf numFmtId="0" fontId="54" fillId="0" borderId="0" xfId="0" applyFont="1" applyAlignment="1">
      <alignment horizontal="center" vertical="center"/>
    </xf>
    <xf numFmtId="0" fontId="54" fillId="0" borderId="0" xfId="0" applyFont="1" applyAlignment="1">
      <alignment vertical="center" shrinkToFit="1"/>
    </xf>
    <xf numFmtId="0" fontId="53" fillId="0" borderId="0" xfId="0" applyFont="1" applyAlignment="1">
      <alignment horizontal="center" vertical="center"/>
    </xf>
    <xf numFmtId="189" fontId="115" fillId="0" borderId="90" xfId="0" applyNumberFormat="1" applyFont="1" applyBorder="1" applyAlignment="1">
      <alignment horizontal="center" vertical="center" shrinkToFit="1"/>
    </xf>
    <xf numFmtId="189" fontId="115" fillId="0" borderId="311" xfId="0" applyNumberFormat="1" applyFont="1" applyBorder="1" applyAlignment="1">
      <alignment horizontal="center" vertical="center" shrinkToFit="1"/>
    </xf>
    <xf numFmtId="38" fontId="149" fillId="0" borderId="121" xfId="2" applyFont="1" applyFill="1" applyBorder="1" applyAlignment="1" applyProtection="1">
      <alignment horizontal="center" vertical="center" shrinkToFit="1"/>
      <protection locked="0"/>
    </xf>
    <xf numFmtId="180" fontId="151" fillId="0" borderId="308" xfId="0" applyNumberFormat="1" applyFont="1" applyBorder="1" applyAlignment="1">
      <alignment horizontal="center" vertical="center" shrinkToFit="1"/>
    </xf>
    <xf numFmtId="38" fontId="43" fillId="0" borderId="0" xfId="0" applyNumberFormat="1" applyFont="1" applyAlignment="1"/>
    <xf numFmtId="0" fontId="123" fillId="0" borderId="0" xfId="0" applyFont="1">
      <alignment vertical="center"/>
    </xf>
    <xf numFmtId="0" fontId="117" fillId="0" borderId="0" xfId="0" applyFont="1" applyAlignment="1">
      <alignment horizontal="center" vertical="center"/>
    </xf>
    <xf numFmtId="0" fontId="131" fillId="0" borderId="0" xfId="0" applyFont="1" applyAlignment="1">
      <alignment horizontal="center" vertical="center" shrinkToFit="1"/>
    </xf>
    <xf numFmtId="181" fontId="127" fillId="0" borderId="0" xfId="0" applyNumberFormat="1" applyFont="1" applyAlignment="1">
      <alignment horizontal="center" vertical="center" shrinkToFit="1"/>
    </xf>
    <xf numFmtId="181" fontId="127" fillId="0" borderId="10" xfId="0" applyNumberFormat="1" applyFont="1" applyBorder="1" applyAlignment="1">
      <alignment horizontal="center" vertical="center" shrinkToFit="1"/>
    </xf>
    <xf numFmtId="0" fontId="124" fillId="0" borderId="0" xfId="0" applyFont="1" applyAlignment="1">
      <alignment horizontal="center" vertical="center"/>
    </xf>
    <xf numFmtId="0" fontId="114" fillId="0" borderId="0" xfId="7" applyFont="1">
      <alignment vertical="center"/>
    </xf>
    <xf numFmtId="0" fontId="114" fillId="0" borderId="0" xfId="7" applyFont="1" applyAlignment="1">
      <alignment horizontal="right" vertical="center"/>
    </xf>
    <xf numFmtId="0" fontId="120" fillId="0" borderId="10" xfId="7" applyFont="1" applyBorder="1" applyAlignment="1" applyProtection="1">
      <alignment vertical="top" wrapText="1"/>
      <protection locked="0"/>
    </xf>
    <xf numFmtId="0" fontId="177" fillId="0" borderId="15" xfId="7" applyFont="1" applyBorder="1" applyAlignment="1" applyProtection="1">
      <alignment vertical="center" textRotation="255"/>
      <protection locked="0"/>
    </xf>
    <xf numFmtId="0" fontId="177" fillId="0" borderId="10" xfId="7" applyFont="1" applyBorder="1" applyAlignment="1" applyProtection="1">
      <alignment vertical="center" textRotation="255"/>
      <protection locked="0"/>
    </xf>
    <xf numFmtId="0" fontId="177" fillId="0" borderId="15" xfId="7" applyFont="1" applyBorder="1" applyAlignment="1" applyProtection="1">
      <alignment vertical="center" wrapText="1"/>
      <protection locked="0"/>
    </xf>
    <xf numFmtId="0" fontId="177" fillId="0" borderId="10" xfId="7" applyFont="1" applyBorder="1" applyProtection="1">
      <alignment vertical="center"/>
      <protection locked="0"/>
    </xf>
    <xf numFmtId="0" fontId="177" fillId="0" borderId="0" xfId="7" applyFont="1" applyProtection="1">
      <alignment vertical="center"/>
      <protection locked="0"/>
    </xf>
    <xf numFmtId="0" fontId="177" fillId="0" borderId="14" xfId="7" applyFont="1" applyBorder="1" applyProtection="1">
      <alignment vertical="center"/>
      <protection locked="0"/>
    </xf>
    <xf numFmtId="0" fontId="177" fillId="0" borderId="15" xfId="7" applyFont="1" applyBorder="1" applyProtection="1">
      <alignment vertical="center"/>
      <protection locked="0"/>
    </xf>
    <xf numFmtId="0" fontId="177" fillId="0" borderId="0" xfId="7" applyFont="1" applyAlignment="1" applyProtection="1">
      <alignment vertical="center" textRotation="255"/>
      <protection locked="0"/>
    </xf>
    <xf numFmtId="0" fontId="177" fillId="0" borderId="14" xfId="7" applyFont="1" applyBorder="1" applyAlignment="1" applyProtection="1">
      <alignment vertical="center" textRotation="255"/>
      <protection locked="0"/>
    </xf>
    <xf numFmtId="0" fontId="177" fillId="0" borderId="12" xfId="7" applyFont="1" applyBorder="1" applyAlignment="1" applyProtection="1">
      <alignment vertical="center" textRotation="255"/>
      <protection locked="0"/>
    </xf>
    <xf numFmtId="0" fontId="120" fillId="0" borderId="0" xfId="7" applyFont="1" applyAlignment="1" applyProtection="1">
      <alignment vertical="top" wrapText="1"/>
      <protection locked="0"/>
    </xf>
    <xf numFmtId="0" fontId="177" fillId="0" borderId="244" xfId="7" applyFont="1" applyBorder="1" applyAlignment="1" applyProtection="1">
      <alignment vertical="center" textRotation="255"/>
      <protection locked="0"/>
    </xf>
    <xf numFmtId="0" fontId="177" fillId="0" borderId="244" xfId="7" applyFont="1" applyBorder="1" applyProtection="1">
      <alignment vertical="center"/>
      <protection locked="0"/>
    </xf>
    <xf numFmtId="0" fontId="177" fillId="0" borderId="0" xfId="7" applyFont="1" applyAlignment="1" applyProtection="1">
      <alignment vertical="center" textRotation="255" wrapText="1"/>
      <protection locked="0"/>
    </xf>
    <xf numFmtId="0" fontId="120" fillId="0" borderId="2" xfId="7" applyFont="1" applyBorder="1" applyAlignment="1" applyProtection="1">
      <alignment vertical="top" wrapText="1"/>
      <protection locked="0"/>
    </xf>
    <xf numFmtId="0" fontId="177" fillId="0" borderId="2" xfId="7" applyFont="1" applyBorder="1" applyAlignment="1" applyProtection="1">
      <alignment vertical="center" textRotation="255"/>
      <protection locked="0"/>
    </xf>
    <xf numFmtId="0" fontId="177" fillId="0" borderId="243" xfId="7" applyFont="1" applyBorder="1" applyAlignment="1" applyProtection="1">
      <alignment vertical="center" textRotation="255"/>
      <protection locked="0"/>
    </xf>
    <xf numFmtId="0" fontId="177" fillId="0" borderId="2" xfId="7" applyFont="1" applyBorder="1" applyProtection="1">
      <alignment vertical="center"/>
      <protection locked="0"/>
    </xf>
    <xf numFmtId="0" fontId="177" fillId="0" borderId="243" xfId="7" applyFont="1" applyBorder="1" applyProtection="1">
      <alignment vertical="center"/>
      <protection locked="0"/>
    </xf>
    <xf numFmtId="0" fontId="177" fillId="0" borderId="3" xfId="7" applyFont="1" applyBorder="1" applyAlignment="1" applyProtection="1">
      <alignment vertical="center" textRotation="255"/>
      <protection locked="0"/>
    </xf>
    <xf numFmtId="0" fontId="177" fillId="0" borderId="245" xfId="7" applyFont="1" applyBorder="1" applyProtection="1">
      <alignment vertical="center"/>
      <protection locked="0"/>
    </xf>
    <xf numFmtId="0" fontId="177" fillId="0" borderId="10" xfId="7" applyFont="1" applyBorder="1" applyAlignment="1" applyProtection="1">
      <alignment vertical="center" wrapText="1"/>
      <protection locked="0"/>
    </xf>
    <xf numFmtId="0" fontId="177" fillId="0" borderId="0" xfId="7" applyFont="1" applyAlignment="1" applyProtection="1">
      <alignment vertical="center" wrapText="1"/>
      <protection locked="0"/>
    </xf>
    <xf numFmtId="0" fontId="177" fillId="0" borderId="3" xfId="7" applyFont="1" applyBorder="1" applyProtection="1">
      <alignment vertical="center"/>
      <protection locked="0"/>
    </xf>
    <xf numFmtId="0" fontId="177" fillId="0" borderId="245" xfId="7" applyFont="1" applyBorder="1" applyAlignment="1" applyProtection="1">
      <alignment vertical="center" textRotation="255"/>
      <protection locked="0"/>
    </xf>
    <xf numFmtId="0" fontId="177" fillId="0" borderId="11" xfId="7" applyFont="1" applyBorder="1" applyAlignment="1" applyProtection="1">
      <alignment vertical="center" textRotation="255"/>
      <protection locked="0"/>
    </xf>
    <xf numFmtId="0" fontId="177" fillId="0" borderId="11" xfId="7" applyFont="1" applyBorder="1" applyProtection="1">
      <alignment vertical="center"/>
      <protection locked="0"/>
    </xf>
    <xf numFmtId="0" fontId="129" fillId="0" borderId="0" xfId="7" applyFont="1" applyAlignment="1">
      <alignment vertical="center" wrapText="1"/>
    </xf>
    <xf numFmtId="0" fontId="101" fillId="0" borderId="310" xfId="0" applyFont="1" applyBorder="1" applyAlignment="1">
      <alignment vertical="center" shrinkToFit="1"/>
    </xf>
    <xf numFmtId="0" fontId="101" fillId="0" borderId="53" xfId="0" applyFont="1" applyBorder="1" applyAlignment="1">
      <alignment vertical="center" shrinkToFit="1"/>
    </xf>
    <xf numFmtId="0" fontId="99" fillId="0" borderId="21" xfId="0" applyFont="1" applyBorder="1" applyAlignment="1">
      <alignment horizontal="center" vertical="center"/>
    </xf>
    <xf numFmtId="49" fontId="121" fillId="0" borderId="179" xfId="0" applyNumberFormat="1" applyFont="1" applyBorder="1" applyAlignment="1">
      <alignment vertical="center"/>
    </xf>
    <xf numFmtId="49" fontId="121" fillId="0" borderId="179" xfId="0" applyNumberFormat="1" applyFont="1" applyBorder="1" applyAlignment="1">
      <alignment horizontal="center" vertical="center"/>
    </xf>
    <xf numFmtId="0" fontId="99" fillId="0" borderId="180" xfId="0" applyFont="1" applyBorder="1" applyAlignment="1">
      <alignment horizontal="center" vertical="center"/>
    </xf>
    <xf numFmtId="49" fontId="101" fillId="0" borderId="180" xfId="0" applyNumberFormat="1" applyFont="1" applyBorder="1" applyAlignment="1">
      <alignment horizontal="left" vertical="center" wrapText="1"/>
    </xf>
    <xf numFmtId="49" fontId="121" fillId="0" borderId="0" xfId="0" applyNumberFormat="1" applyFont="1" applyAlignment="1">
      <alignment horizontal="center" vertical="center"/>
    </xf>
    <xf numFmtId="0" fontId="121" fillId="0" borderId="0" xfId="0" applyFont="1" applyAlignment="1">
      <alignment horizontal="center" vertical="center"/>
    </xf>
    <xf numFmtId="0" fontId="120" fillId="0" borderId="0" xfId="0" applyFont="1">
      <alignment vertical="center"/>
    </xf>
    <xf numFmtId="0" fontId="153" fillId="0" borderId="0" xfId="0" applyFont="1">
      <alignment vertical="center"/>
    </xf>
    <xf numFmtId="0" fontId="129" fillId="0" borderId="0" xfId="0" applyFont="1">
      <alignment vertical="center"/>
    </xf>
    <xf numFmtId="0" fontId="149" fillId="0" borderId="0" xfId="0" applyFont="1" applyAlignment="1"/>
    <xf numFmtId="0" fontId="121" fillId="0" borderId="10" xfId="0" applyFont="1" applyBorder="1">
      <alignment vertical="center"/>
    </xf>
    <xf numFmtId="0" fontId="109" fillId="0" borderId="0" xfId="0" applyFont="1">
      <alignment vertical="center"/>
    </xf>
    <xf numFmtId="0" fontId="129" fillId="0" borderId="2" xfId="0" applyFont="1" applyBorder="1">
      <alignment vertical="center"/>
    </xf>
    <xf numFmtId="49" fontId="121" fillId="0" borderId="180" xfId="0" applyNumberFormat="1" applyFont="1" applyBorder="1" applyAlignment="1">
      <alignment horizontal="center" vertical="center"/>
    </xf>
    <xf numFmtId="0" fontId="182" fillId="0" borderId="12" xfId="0" applyFont="1" applyFill="1" applyBorder="1" applyAlignment="1" applyProtection="1">
      <alignment vertical="center" wrapText="1"/>
    </xf>
    <xf numFmtId="0" fontId="182" fillId="0" borderId="12" xfId="0" applyFont="1" applyFill="1" applyBorder="1" applyAlignment="1" applyProtection="1">
      <alignment vertical="center" wrapText="1"/>
      <protection locked="0"/>
    </xf>
    <xf numFmtId="0" fontId="84" fillId="0" borderId="0" xfId="0" applyFont="1" applyFill="1" applyBorder="1" applyAlignment="1" applyProtection="1">
      <protection locked="0"/>
    </xf>
    <xf numFmtId="0" fontId="99" fillId="0" borderId="0" xfId="0" applyFont="1" applyFill="1" applyBorder="1" applyAlignment="1" applyProtection="1">
      <alignment horizontal="center" vertical="center"/>
      <protection locked="0"/>
    </xf>
    <xf numFmtId="49" fontId="168" fillId="0" borderId="15" xfId="0" applyNumberFormat="1" applyFont="1" applyBorder="1" applyAlignment="1" applyProtection="1">
      <alignment horizontal="left" vertical="center" wrapText="1"/>
    </xf>
    <xf numFmtId="49" fontId="168" fillId="0" borderId="10" xfId="0" applyNumberFormat="1" applyFont="1" applyBorder="1" applyAlignment="1" applyProtection="1">
      <alignment horizontal="left" vertical="center" wrapText="1"/>
    </xf>
    <xf numFmtId="49" fontId="168" fillId="0" borderId="14" xfId="0" applyNumberFormat="1" applyFont="1" applyBorder="1" applyAlignment="1" applyProtection="1">
      <alignment horizontal="left" vertical="center" wrapText="1"/>
    </xf>
    <xf numFmtId="49" fontId="168" fillId="0" borderId="13" xfId="0" applyNumberFormat="1" applyFont="1" applyBorder="1" applyAlignment="1" applyProtection="1">
      <alignment horizontal="left" vertical="center" wrapText="1"/>
    </xf>
    <xf numFmtId="49" fontId="168" fillId="0" borderId="0" xfId="0" applyNumberFormat="1" applyFont="1" applyBorder="1" applyAlignment="1" applyProtection="1">
      <alignment horizontal="left" vertical="center" wrapText="1"/>
    </xf>
    <xf numFmtId="49" fontId="168" fillId="0" borderId="12" xfId="0" applyNumberFormat="1" applyFont="1" applyBorder="1" applyAlignment="1" applyProtection="1">
      <alignment horizontal="left" vertical="center" wrapText="1"/>
    </xf>
    <xf numFmtId="49" fontId="168" fillId="0" borderId="11" xfId="0" applyNumberFormat="1" applyFont="1" applyBorder="1" applyAlignment="1" applyProtection="1">
      <alignment horizontal="left" vertical="center" wrapText="1"/>
    </xf>
    <xf numFmtId="49" fontId="168" fillId="0" borderId="2" xfId="0" applyNumberFormat="1" applyFont="1" applyBorder="1" applyAlignment="1" applyProtection="1">
      <alignment horizontal="left" vertical="center" wrapText="1"/>
    </xf>
    <xf numFmtId="49" fontId="168" fillId="0" borderId="3" xfId="0" applyNumberFormat="1" applyFont="1" applyBorder="1" applyAlignment="1" applyProtection="1">
      <alignment horizontal="left" vertical="center" wrapText="1"/>
    </xf>
    <xf numFmtId="49" fontId="168" fillId="0" borderId="21" xfId="0" applyNumberFormat="1" applyFont="1" applyBorder="1" applyAlignment="1" applyProtection="1">
      <alignment horizontal="center" vertical="center"/>
    </xf>
    <xf numFmtId="49" fontId="172" fillId="8" borderId="21" xfId="0" applyNumberFormat="1" applyFont="1" applyFill="1" applyBorder="1" applyAlignment="1" applyProtection="1">
      <alignment horizontal="left" vertical="center" wrapText="1"/>
    </xf>
    <xf numFmtId="49" fontId="171" fillId="8" borderId="54" xfId="0" applyNumberFormat="1" applyFont="1" applyFill="1" applyBorder="1" applyAlignment="1" applyProtection="1">
      <alignment horizontal="left" vertical="center"/>
    </xf>
    <xf numFmtId="49" fontId="171" fillId="8" borderId="17" xfId="0" applyNumberFormat="1" applyFont="1" applyFill="1" applyBorder="1" applyAlignment="1" applyProtection="1">
      <alignment horizontal="left" vertical="center"/>
    </xf>
    <xf numFmtId="49" fontId="171" fillId="8" borderId="53" xfId="0" applyNumberFormat="1" applyFont="1" applyFill="1" applyBorder="1" applyAlignment="1" applyProtection="1">
      <alignment horizontal="left" vertical="center"/>
    </xf>
    <xf numFmtId="49" fontId="168" fillId="0" borderId="54" xfId="0" applyNumberFormat="1" applyFont="1" applyBorder="1" applyAlignment="1" applyProtection="1">
      <alignment horizontal="center" vertical="center"/>
    </xf>
    <xf numFmtId="49" fontId="168" fillId="0" borderId="17" xfId="0" applyNumberFormat="1" applyFont="1" applyBorder="1" applyAlignment="1" applyProtection="1">
      <alignment horizontal="center" vertical="center"/>
    </xf>
    <xf numFmtId="49" fontId="168" fillId="0" borderId="21" xfId="0" applyNumberFormat="1" applyFont="1" applyBorder="1" applyAlignment="1" applyProtection="1">
      <alignment horizontal="left" vertical="center" wrapText="1"/>
    </xf>
    <xf numFmtId="49" fontId="172" fillId="19" borderId="54" xfId="0" applyNumberFormat="1" applyFont="1" applyFill="1" applyBorder="1" applyAlignment="1" applyProtection="1">
      <alignment horizontal="left" vertical="center"/>
    </xf>
    <xf numFmtId="49" fontId="172" fillId="19" borderId="17" xfId="0" applyNumberFormat="1" applyFont="1" applyFill="1" applyBorder="1" applyAlignment="1" applyProtection="1">
      <alignment horizontal="left" vertical="center"/>
    </xf>
    <xf numFmtId="49" fontId="172" fillId="19" borderId="53" xfId="0" applyNumberFormat="1" applyFont="1" applyFill="1" applyBorder="1" applyAlignment="1" applyProtection="1">
      <alignment horizontal="left" vertical="center"/>
    </xf>
    <xf numFmtId="49" fontId="168" fillId="3" borderId="54" xfId="0" applyNumberFormat="1" applyFont="1" applyFill="1" applyBorder="1" applyAlignment="1" applyProtection="1">
      <alignment horizontal="left" vertical="center"/>
    </xf>
    <xf numFmtId="49" fontId="168" fillId="3" borderId="17" xfId="0" applyNumberFormat="1" applyFont="1" applyFill="1" applyBorder="1" applyAlignment="1" applyProtection="1">
      <alignment horizontal="left" vertical="center"/>
    </xf>
    <xf numFmtId="49" fontId="168" fillId="3" borderId="53" xfId="0" applyNumberFormat="1" applyFont="1" applyFill="1" applyBorder="1" applyAlignment="1" applyProtection="1">
      <alignment horizontal="left" vertical="center"/>
    </xf>
    <xf numFmtId="49" fontId="168" fillId="3" borderId="21" xfId="0" applyNumberFormat="1" applyFont="1" applyFill="1" applyBorder="1" applyAlignment="1" applyProtection="1">
      <alignment horizontal="left" vertical="center" wrapText="1"/>
    </xf>
    <xf numFmtId="49" fontId="168" fillId="0" borderId="0" xfId="0" applyNumberFormat="1" applyFont="1" applyAlignment="1">
      <alignment horizontal="center" vertical="center"/>
    </xf>
    <xf numFmtId="49" fontId="169" fillId="0" borderId="0" xfId="0" applyNumberFormat="1" applyFont="1" applyAlignment="1" applyProtection="1">
      <alignment horizontal="left" vertical="center"/>
    </xf>
    <xf numFmtId="49" fontId="168" fillId="0" borderId="0" xfId="0" applyNumberFormat="1" applyFont="1" applyAlignment="1" applyProtection="1">
      <alignment horizontal="left" vertical="center"/>
    </xf>
    <xf numFmtId="49" fontId="169" fillId="0" borderId="0" xfId="0" applyNumberFormat="1" applyFont="1" applyBorder="1" applyAlignment="1" applyProtection="1">
      <alignment horizontal="center" vertical="center"/>
    </xf>
    <xf numFmtId="49" fontId="168" fillId="0" borderId="0" xfId="0" applyNumberFormat="1" applyFont="1" applyBorder="1" applyAlignment="1" applyProtection="1">
      <alignment horizontal="center" vertical="center"/>
    </xf>
    <xf numFmtId="49" fontId="169" fillId="0" borderId="68" xfId="0" applyNumberFormat="1" applyFont="1" applyBorder="1" applyAlignment="1" applyProtection="1">
      <alignment horizontal="center" vertical="center" shrinkToFit="1"/>
    </xf>
    <xf numFmtId="49" fontId="169" fillId="0" borderId="176" xfId="0" applyNumberFormat="1" applyFont="1" applyBorder="1" applyAlignment="1" applyProtection="1">
      <alignment horizontal="center" vertical="center" shrinkToFit="1"/>
    </xf>
    <xf numFmtId="49" fontId="168" fillId="0" borderId="0" xfId="0" applyNumberFormat="1" applyFont="1" applyAlignment="1">
      <alignment horizontal="left" vertical="center"/>
    </xf>
    <xf numFmtId="0" fontId="168" fillId="0" borderId="0" xfId="0" applyFont="1" applyBorder="1" applyAlignment="1">
      <alignment horizontal="left" vertical="center"/>
    </xf>
    <xf numFmtId="0" fontId="174" fillId="0" borderId="0" xfId="0" applyFont="1" applyBorder="1" applyAlignment="1">
      <alignment horizontal="left" vertical="center"/>
    </xf>
    <xf numFmtId="49" fontId="168" fillId="0" borderId="54" xfId="0" applyNumberFormat="1" applyFont="1" applyBorder="1" applyAlignment="1" applyProtection="1">
      <alignment horizontal="left" vertical="center"/>
    </xf>
    <xf numFmtId="49" fontId="168" fillId="0" borderId="17" xfId="0" applyNumberFormat="1" applyFont="1" applyBorder="1" applyAlignment="1" applyProtection="1">
      <alignment horizontal="left" vertical="center"/>
    </xf>
    <xf numFmtId="49" fontId="168" fillId="0" borderId="53" xfId="0" applyNumberFormat="1" applyFont="1" applyBorder="1" applyAlignment="1" applyProtection="1">
      <alignment horizontal="left" vertical="center"/>
    </xf>
    <xf numFmtId="49" fontId="168" fillId="0" borderId="53" xfId="0" applyNumberFormat="1" applyFont="1" applyBorder="1" applyAlignment="1" applyProtection="1">
      <alignment horizontal="center" vertical="center"/>
    </xf>
    <xf numFmtId="49" fontId="169" fillId="0" borderId="113" xfId="0" applyNumberFormat="1" applyFont="1" applyBorder="1" applyAlignment="1" applyProtection="1">
      <alignment horizontal="left" vertical="center"/>
    </xf>
    <xf numFmtId="49" fontId="169" fillId="0" borderId="126" xfId="0" applyNumberFormat="1" applyFont="1" applyBorder="1" applyAlignment="1" applyProtection="1">
      <alignment horizontal="left" vertical="center"/>
    </xf>
    <xf numFmtId="0" fontId="117" fillId="0" borderId="0" xfId="0" applyFont="1" applyAlignment="1" applyProtection="1">
      <alignment horizontal="center" vertical="center"/>
    </xf>
    <xf numFmtId="49" fontId="168" fillId="0" borderId="0" xfId="0" applyNumberFormat="1" applyFont="1" applyAlignment="1" applyProtection="1">
      <alignment horizontal="center" vertical="center"/>
    </xf>
    <xf numFmtId="0" fontId="152" fillId="0" borderId="0" xfId="0" applyFont="1" applyFill="1" applyAlignment="1" applyProtection="1">
      <alignment horizontal="center" vertical="center"/>
    </xf>
    <xf numFmtId="0" fontId="168" fillId="6" borderId="0" xfId="0" applyFont="1" applyFill="1" applyAlignment="1" applyProtection="1">
      <alignment horizontal="center" vertical="center"/>
    </xf>
    <xf numFmtId="49" fontId="168" fillId="7" borderId="0" xfId="0" applyNumberFormat="1" applyFont="1" applyFill="1" applyAlignment="1" applyProtection="1">
      <alignment horizontal="center" vertical="center"/>
    </xf>
    <xf numFmtId="49" fontId="169" fillId="0" borderId="0" xfId="0" applyNumberFormat="1" applyFont="1" applyAlignment="1" applyProtection="1">
      <alignment horizontal="left" vertical="center" wrapText="1"/>
    </xf>
    <xf numFmtId="0" fontId="92" fillId="18" borderId="268" xfId="0" applyFont="1" applyFill="1" applyBorder="1" applyAlignment="1">
      <alignment vertical="center" wrapText="1"/>
    </xf>
    <xf numFmtId="0" fontId="92" fillId="18" borderId="267" xfId="0" applyFont="1" applyFill="1" applyBorder="1" applyAlignment="1">
      <alignment vertical="center" wrapText="1"/>
    </xf>
    <xf numFmtId="0" fontId="113" fillId="0" borderId="133" xfId="0" applyFont="1" applyBorder="1" applyAlignment="1" applyProtection="1">
      <alignment horizontal="center" vertical="center" wrapText="1"/>
    </xf>
    <xf numFmtId="0" fontId="113" fillId="0" borderId="134" xfId="0" applyFont="1" applyBorder="1" applyAlignment="1" applyProtection="1">
      <alignment horizontal="center" vertical="center" wrapText="1"/>
    </xf>
    <xf numFmtId="0" fontId="113" fillId="0" borderId="0" xfId="0" applyFont="1" applyBorder="1" applyAlignment="1" applyProtection="1">
      <alignment horizontal="center" vertical="center" wrapText="1"/>
    </xf>
    <xf numFmtId="0" fontId="122" fillId="0" borderId="15" xfId="0" applyFont="1" applyBorder="1" applyAlignment="1" applyProtection="1">
      <alignment horizontal="center" vertical="center"/>
    </xf>
    <xf numFmtId="0" fontId="122" fillId="0" borderId="10" xfId="0" applyFont="1" applyBorder="1" applyAlignment="1" applyProtection="1">
      <alignment horizontal="center" vertical="center"/>
    </xf>
    <xf numFmtId="0" fontId="122" fillId="0" borderId="14" xfId="0" applyFont="1" applyBorder="1" applyAlignment="1" applyProtection="1">
      <alignment horizontal="center" vertical="center"/>
    </xf>
    <xf numFmtId="0" fontId="122" fillId="0" borderId="11" xfId="0" applyFont="1" applyBorder="1" applyAlignment="1" applyProtection="1">
      <alignment horizontal="center" vertical="center"/>
    </xf>
    <xf numFmtId="0" fontId="122" fillId="0" borderId="2" xfId="0" applyFont="1" applyBorder="1" applyAlignment="1" applyProtection="1">
      <alignment horizontal="center" vertical="center"/>
    </xf>
    <xf numFmtId="0" fontId="122" fillId="0" borderId="3" xfId="0" applyFont="1" applyBorder="1" applyAlignment="1" applyProtection="1">
      <alignment horizontal="center" vertical="center"/>
    </xf>
    <xf numFmtId="0" fontId="122" fillId="0" borderId="54" xfId="0" applyFont="1" applyBorder="1" applyAlignment="1" applyProtection="1">
      <alignment horizontal="center" vertical="center" wrapText="1"/>
    </xf>
    <xf numFmtId="0" fontId="122" fillId="0" borderId="17" xfId="0" applyFont="1" applyBorder="1" applyAlignment="1" applyProtection="1">
      <alignment horizontal="center" vertical="center" wrapText="1"/>
    </xf>
    <xf numFmtId="0" fontId="122" fillId="0" borderId="53" xfId="0" applyFont="1" applyBorder="1" applyAlignment="1" applyProtection="1">
      <alignment horizontal="center" vertical="center" wrapText="1"/>
    </xf>
    <xf numFmtId="0" fontId="121" fillId="0" borderId="0" xfId="0" applyFont="1" applyBorder="1" applyAlignment="1" applyProtection="1">
      <alignment horizontal="center" vertical="center"/>
    </xf>
    <xf numFmtId="0" fontId="113" fillId="0" borderId="0" xfId="0" applyFont="1" applyBorder="1" applyAlignment="1" applyProtection="1">
      <alignment horizontal="left" vertical="center" wrapText="1"/>
    </xf>
    <xf numFmtId="0" fontId="112" fillId="0" borderId="129" xfId="0" applyFont="1" applyBorder="1" applyAlignment="1" applyProtection="1">
      <alignment horizontal="left" vertical="center" wrapText="1"/>
    </xf>
    <xf numFmtId="0" fontId="112" fillId="0" borderId="10" xfId="0" applyFont="1" applyBorder="1" applyAlignment="1" applyProtection="1">
      <alignment horizontal="left" vertical="center" wrapText="1"/>
    </xf>
    <xf numFmtId="0" fontId="112" fillId="0" borderId="14" xfId="0" applyFont="1" applyBorder="1" applyAlignment="1" applyProtection="1">
      <alignment horizontal="left" vertical="center" wrapText="1"/>
    </xf>
    <xf numFmtId="0" fontId="112" fillId="0" borderId="264" xfId="0" applyFont="1" applyBorder="1" applyAlignment="1" applyProtection="1">
      <alignment horizontal="left" vertical="center" wrapText="1"/>
    </xf>
    <xf numFmtId="0" fontId="112" fillId="0" borderId="0" xfId="0" applyFont="1" applyBorder="1" applyAlignment="1" applyProtection="1">
      <alignment horizontal="left" vertical="center" wrapText="1"/>
    </xf>
    <xf numFmtId="0" fontId="112" fillId="0" borderId="12" xfId="0" applyFont="1" applyBorder="1" applyAlignment="1" applyProtection="1">
      <alignment horizontal="left" vertical="center" wrapText="1"/>
    </xf>
    <xf numFmtId="0" fontId="112" fillId="0" borderId="291" xfId="0" applyFont="1" applyBorder="1" applyAlignment="1" applyProtection="1">
      <alignment horizontal="left" vertical="center" wrapText="1"/>
    </xf>
    <xf numFmtId="0" fontId="112" fillId="0" borderId="2" xfId="0" applyFont="1" applyBorder="1" applyAlignment="1" applyProtection="1">
      <alignment horizontal="left" vertical="center" wrapText="1"/>
    </xf>
    <xf numFmtId="0" fontId="112" fillId="0" borderId="3" xfId="0" applyFont="1" applyBorder="1" applyAlignment="1" applyProtection="1">
      <alignment horizontal="left" vertical="center" wrapText="1"/>
    </xf>
    <xf numFmtId="0" fontId="121" fillId="0" borderId="0" xfId="0" applyFont="1" applyBorder="1" applyAlignment="1" applyProtection="1">
      <alignment horizontal="left" vertical="center"/>
    </xf>
    <xf numFmtId="0" fontId="121" fillId="0" borderId="124" xfId="0" applyFont="1" applyBorder="1" applyAlignment="1" applyProtection="1">
      <alignment horizontal="left" vertical="center"/>
    </xf>
    <xf numFmtId="0" fontId="121" fillId="0" borderId="0" xfId="0" applyFont="1" applyBorder="1" applyAlignment="1" applyProtection="1">
      <alignment horizontal="center" vertical="center" wrapText="1"/>
    </xf>
    <xf numFmtId="0" fontId="117" fillId="0" borderId="0" xfId="0" applyFont="1" applyBorder="1" applyAlignment="1" applyProtection="1">
      <alignment horizontal="center" vertical="center" shrinkToFit="1"/>
    </xf>
    <xf numFmtId="0" fontId="117" fillId="0" borderId="0" xfId="0" applyFont="1" applyBorder="1" applyAlignment="1" applyProtection="1">
      <alignment horizontal="center" vertical="center" wrapText="1"/>
    </xf>
    <xf numFmtId="49" fontId="116" fillId="0" borderId="135" xfId="0" applyNumberFormat="1" applyFont="1" applyBorder="1" applyAlignment="1" applyProtection="1">
      <alignment horizontal="center" vertical="center"/>
    </xf>
    <xf numFmtId="0" fontId="101" fillId="0" borderId="135" xfId="0" applyFont="1" applyBorder="1" applyProtection="1">
      <alignment vertical="center"/>
    </xf>
    <xf numFmtId="0" fontId="101" fillId="0" borderId="136" xfId="0" applyFont="1" applyBorder="1" applyProtection="1">
      <alignment vertical="center"/>
    </xf>
    <xf numFmtId="49" fontId="116" fillId="0" borderId="142" xfId="0" applyNumberFormat="1" applyFont="1" applyBorder="1" applyAlignment="1" applyProtection="1">
      <alignment horizontal="center" vertical="center"/>
    </xf>
    <xf numFmtId="49" fontId="116" fillId="0" borderId="4" xfId="0" applyNumberFormat="1" applyFont="1" applyBorder="1" applyAlignment="1" applyProtection="1">
      <alignment horizontal="center" vertical="center"/>
    </xf>
    <xf numFmtId="49" fontId="116" fillId="0" borderId="140" xfId="0" applyNumberFormat="1" applyFont="1" applyBorder="1" applyAlignment="1" applyProtection="1">
      <alignment horizontal="center" vertical="center"/>
    </xf>
    <xf numFmtId="49" fontId="116" fillId="0" borderId="7" xfId="0" applyNumberFormat="1" applyFont="1" applyBorder="1" applyAlignment="1" applyProtection="1">
      <alignment horizontal="center" vertical="center"/>
    </xf>
    <xf numFmtId="0" fontId="117" fillId="0" borderId="2" xfId="0" applyFont="1" applyBorder="1" applyAlignment="1" applyProtection="1">
      <alignment horizontal="center" vertical="center"/>
    </xf>
    <xf numFmtId="49" fontId="113" fillId="3" borderId="131" xfId="0" applyNumberFormat="1" applyFont="1" applyFill="1" applyBorder="1" applyAlignment="1">
      <alignment horizontal="left" vertical="center" wrapText="1" shrinkToFit="1"/>
    </xf>
    <xf numFmtId="49" fontId="113" fillId="3" borderId="128" xfId="0" applyNumberFormat="1" applyFont="1" applyFill="1" applyBorder="1" applyAlignment="1">
      <alignment horizontal="left" vertical="center" shrinkToFit="1"/>
    </xf>
    <xf numFmtId="49" fontId="113" fillId="3" borderId="140" xfId="0" applyNumberFormat="1" applyFont="1" applyFill="1" applyBorder="1" applyAlignment="1">
      <alignment horizontal="left" vertical="center" shrinkToFit="1"/>
    </xf>
    <xf numFmtId="49" fontId="113" fillId="3" borderId="264" xfId="0" applyNumberFormat="1" applyFont="1" applyFill="1" applyBorder="1" applyAlignment="1">
      <alignment horizontal="left" vertical="center" shrinkToFit="1"/>
    </xf>
    <xf numFmtId="49" fontId="113" fillId="3" borderId="0" xfId="0" applyNumberFormat="1" applyFont="1" applyFill="1" applyBorder="1" applyAlignment="1">
      <alignment horizontal="left" vertical="center" shrinkToFit="1"/>
    </xf>
    <xf numFmtId="49" fontId="113" fillId="3" borderId="124" xfId="0" applyNumberFormat="1" applyFont="1" applyFill="1" applyBorder="1" applyAlignment="1">
      <alignment horizontal="left" vertical="center" shrinkToFit="1"/>
    </xf>
    <xf numFmtId="49" fontId="113" fillId="3" borderId="130" xfId="0" applyNumberFormat="1" applyFont="1" applyFill="1" applyBorder="1" applyAlignment="1">
      <alignment horizontal="left" vertical="center" shrinkToFit="1"/>
    </xf>
    <xf numFmtId="49" fontId="113" fillId="3" borderId="6" xfId="0" applyNumberFormat="1" applyFont="1" applyFill="1" applyBorder="1" applyAlignment="1">
      <alignment horizontal="left" vertical="center" shrinkToFit="1"/>
    </xf>
    <xf numFmtId="49" fontId="113" fillId="3" borderId="7" xfId="0" applyNumberFormat="1" applyFont="1" applyFill="1" applyBorder="1" applyAlignment="1">
      <alignment horizontal="left" vertical="center" shrinkToFit="1"/>
    </xf>
    <xf numFmtId="0" fontId="122" fillId="0" borderId="133" xfId="0" applyFont="1" applyBorder="1" applyAlignment="1" applyProtection="1">
      <alignment horizontal="center" vertical="center" textRotation="255"/>
    </xf>
    <xf numFmtId="0" fontId="122" fillId="0" borderId="134" xfId="0" applyFont="1" applyBorder="1" applyAlignment="1" applyProtection="1">
      <alignment horizontal="center" vertical="center" textRotation="255"/>
    </xf>
    <xf numFmtId="49" fontId="120" fillId="0" borderId="0" xfId="0" applyNumberFormat="1" applyFont="1" applyBorder="1" applyAlignment="1" applyProtection="1">
      <alignment horizontal="center" vertical="center"/>
    </xf>
    <xf numFmtId="0" fontId="101" fillId="0" borderId="12" xfId="0" applyFont="1" applyBorder="1" applyProtection="1">
      <alignment vertical="center"/>
    </xf>
    <xf numFmtId="0" fontId="101" fillId="0" borderId="2" xfId="0" applyFont="1" applyBorder="1" applyProtection="1">
      <alignment vertical="center"/>
    </xf>
    <xf numFmtId="0" fontId="101" fillId="0" borderId="3" xfId="0" applyFont="1" applyBorder="1" applyProtection="1">
      <alignment vertical="center"/>
    </xf>
    <xf numFmtId="0" fontId="121" fillId="0" borderId="135" xfId="0" applyFont="1" applyBorder="1" applyAlignment="1" applyProtection="1">
      <alignment horizontal="center" vertical="center"/>
    </xf>
    <xf numFmtId="0" fontId="121" fillId="0" borderId="135" xfId="0" applyFont="1" applyBorder="1" applyAlignment="1" applyProtection="1">
      <alignment horizontal="center" vertical="center" shrinkToFit="1"/>
    </xf>
    <xf numFmtId="0" fontId="117" fillId="0" borderId="135" xfId="0" applyFont="1" applyBorder="1" applyAlignment="1" applyProtection="1">
      <alignment horizontal="center" vertical="center"/>
    </xf>
    <xf numFmtId="0" fontId="121" fillId="0" borderId="2" xfId="0" applyFont="1" applyBorder="1" applyAlignment="1" applyProtection="1">
      <alignment horizontal="left" vertical="center"/>
    </xf>
    <xf numFmtId="0" fontId="121" fillId="0" borderId="3" xfId="0" applyFont="1" applyBorder="1" applyAlignment="1" applyProtection="1">
      <alignment horizontal="left" vertical="center"/>
    </xf>
    <xf numFmtId="0" fontId="121" fillId="0" borderId="12" xfId="0" applyFont="1" applyBorder="1" applyAlignment="1" applyProtection="1">
      <alignment horizontal="left" vertical="center"/>
    </xf>
    <xf numFmtId="0" fontId="121" fillId="0" borderId="2" xfId="0" applyFont="1" applyBorder="1" applyAlignment="1" applyProtection="1">
      <alignment horizontal="center" vertical="center"/>
    </xf>
    <xf numFmtId="0" fontId="121" fillId="0" borderId="2" xfId="0" applyFont="1" applyBorder="1" applyAlignment="1" applyProtection="1">
      <alignment horizontal="center" vertical="center" shrinkToFit="1"/>
    </xf>
    <xf numFmtId="0" fontId="113" fillId="0" borderId="264" xfId="0" applyFont="1" applyBorder="1" applyAlignment="1" applyProtection="1">
      <alignment horizontal="center" vertical="center" wrapText="1"/>
    </xf>
    <xf numFmtId="0" fontId="113" fillId="0" borderId="124" xfId="0" applyFont="1" applyBorder="1" applyAlignment="1" applyProtection="1">
      <alignment horizontal="center" vertical="center" wrapText="1"/>
    </xf>
    <xf numFmtId="0" fontId="113" fillId="0" borderId="291" xfId="0" applyFont="1" applyBorder="1" applyAlignment="1" applyProtection="1">
      <alignment horizontal="center" vertical="center" wrapText="1"/>
    </xf>
    <xf numFmtId="0" fontId="113" fillId="0" borderId="2" xfId="0" applyFont="1" applyBorder="1" applyAlignment="1" applyProtection="1">
      <alignment horizontal="center" vertical="center" wrapText="1"/>
    </xf>
    <xf numFmtId="0" fontId="113" fillId="0" borderId="1" xfId="0" applyFont="1" applyBorder="1" applyAlignment="1" applyProtection="1">
      <alignment horizontal="center" vertical="center" wrapText="1"/>
    </xf>
    <xf numFmtId="49" fontId="120" fillId="0" borderId="8" xfId="0" applyNumberFormat="1" applyFont="1" applyBorder="1" applyAlignment="1" applyProtection="1">
      <alignment horizontal="center" vertical="center"/>
    </xf>
    <xf numFmtId="49" fontId="116" fillId="0" borderId="0" xfId="0" applyNumberFormat="1" applyFont="1" applyBorder="1" applyAlignment="1" applyProtection="1">
      <alignment horizontal="center" vertical="center"/>
    </xf>
    <xf numFmtId="49" fontId="116" fillId="0" borderId="6" xfId="0" applyNumberFormat="1" applyFont="1" applyBorder="1" applyAlignment="1" applyProtection="1">
      <alignment horizontal="center" vertical="center"/>
    </xf>
    <xf numFmtId="0" fontId="93" fillId="18" borderId="278" xfId="12" applyFill="1" applyBorder="1" applyAlignment="1">
      <alignment vertical="center" wrapText="1"/>
    </xf>
    <xf numFmtId="0" fontId="93" fillId="18" borderId="279" xfId="12" applyFill="1" applyBorder="1" applyAlignment="1">
      <alignment vertical="center" wrapText="1"/>
    </xf>
    <xf numFmtId="0" fontId="121" fillId="3" borderId="10" xfId="0" applyFont="1" applyFill="1" applyBorder="1" applyAlignment="1" applyProtection="1">
      <alignment horizontal="center" vertical="center" shrinkToFit="1"/>
      <protection locked="0"/>
    </xf>
    <xf numFmtId="0" fontId="121" fillId="3" borderId="127" xfId="0" applyFont="1" applyFill="1" applyBorder="1" applyAlignment="1" applyProtection="1">
      <alignment horizontal="center" vertical="center" shrinkToFit="1"/>
      <protection locked="0"/>
    </xf>
    <xf numFmtId="49" fontId="116" fillId="0" borderId="124" xfId="0" applyNumberFormat="1" applyFont="1" applyBorder="1" applyAlignment="1" applyProtection="1">
      <alignment horizontal="center" vertical="center"/>
    </xf>
    <xf numFmtId="176" fontId="111" fillId="0" borderId="0" xfId="0" applyNumberFormat="1" applyFont="1" applyBorder="1" applyAlignment="1" applyProtection="1">
      <alignment horizontal="right" vertical="center"/>
    </xf>
    <xf numFmtId="176" fontId="111" fillId="0" borderId="2" xfId="0" applyNumberFormat="1" applyFont="1" applyBorder="1" applyAlignment="1" applyProtection="1">
      <alignment horizontal="right" vertical="center"/>
    </xf>
    <xf numFmtId="0" fontId="62" fillId="0" borderId="0" xfId="0" applyFont="1" applyBorder="1" applyAlignment="1">
      <alignment horizontal="center" vertical="center" textRotation="255"/>
    </xf>
    <xf numFmtId="0" fontId="121" fillId="0" borderId="10" xfId="0" applyFont="1" applyBorder="1" applyAlignment="1" applyProtection="1">
      <alignment horizontal="left" vertical="center"/>
    </xf>
    <xf numFmtId="0" fontId="114" fillId="0" borderId="0" xfId="0" applyFont="1" applyBorder="1" applyAlignment="1" applyProtection="1">
      <alignment horizontal="center" vertical="center"/>
    </xf>
    <xf numFmtId="0" fontId="114" fillId="0" borderId="12" xfId="0" applyFont="1" applyBorder="1" applyAlignment="1" applyProtection="1">
      <alignment horizontal="center" vertical="center"/>
    </xf>
    <xf numFmtId="0" fontId="113" fillId="0" borderId="39" xfId="0" applyFont="1" applyBorder="1" applyAlignment="1" applyProtection="1">
      <alignment horizontal="center" vertical="center" wrapText="1"/>
    </xf>
    <xf numFmtId="0" fontId="113" fillId="0" borderId="39" xfId="0" applyFont="1" applyBorder="1" applyAlignment="1" applyProtection="1">
      <alignment horizontal="center" vertical="center"/>
    </xf>
    <xf numFmtId="0" fontId="113" fillId="0" borderId="134" xfId="0" applyFont="1" applyBorder="1" applyAlignment="1" applyProtection="1">
      <alignment horizontal="center" vertical="center"/>
    </xf>
    <xf numFmtId="0" fontId="113" fillId="0" borderId="21" xfId="0" applyFont="1" applyBorder="1" applyAlignment="1" applyProtection="1">
      <alignment horizontal="center" vertical="center"/>
    </xf>
    <xf numFmtId="0" fontId="113" fillId="0" borderId="22" xfId="0" applyFont="1" applyBorder="1" applyAlignment="1" applyProtection="1">
      <alignment horizontal="center" vertical="center"/>
    </xf>
    <xf numFmtId="49" fontId="116" fillId="0" borderId="143" xfId="0" applyNumberFormat="1" applyFont="1" applyBorder="1" applyAlignment="1" applyProtection="1">
      <alignment horizontal="center" vertical="center"/>
    </xf>
    <xf numFmtId="49" fontId="116" fillId="0" borderId="144" xfId="0" applyNumberFormat="1" applyFont="1" applyBorder="1" applyAlignment="1" applyProtection="1">
      <alignment horizontal="center" vertical="center"/>
    </xf>
    <xf numFmtId="0" fontId="113" fillId="0" borderId="2" xfId="0" applyFont="1" applyBorder="1" applyAlignment="1" applyProtection="1">
      <alignment horizontal="center" vertical="center"/>
    </xf>
    <xf numFmtId="0" fontId="117" fillId="0" borderId="132" xfId="0" applyFont="1" applyBorder="1" applyAlignment="1" applyProtection="1">
      <alignment horizontal="center" vertical="center"/>
    </xf>
    <xf numFmtId="0" fontId="117" fillId="0" borderId="8" xfId="0" applyFont="1" applyBorder="1" applyAlignment="1" applyProtection="1">
      <alignment horizontal="center" vertical="center"/>
    </xf>
    <xf numFmtId="49" fontId="113" fillId="0" borderId="138" xfId="0" applyNumberFormat="1" applyFont="1" applyBorder="1" applyAlignment="1" applyProtection="1">
      <alignment horizontal="center" vertical="center" textRotation="255"/>
    </xf>
    <xf numFmtId="49" fontId="113" fillId="0" borderId="139" xfId="0" applyNumberFormat="1" applyFont="1" applyBorder="1" applyAlignment="1" applyProtection="1">
      <alignment horizontal="center" vertical="center" textRotation="255"/>
    </xf>
    <xf numFmtId="49" fontId="116" fillId="0" borderId="128" xfId="0" applyNumberFormat="1" applyFont="1" applyBorder="1" applyAlignment="1" applyProtection="1">
      <alignment horizontal="center" vertical="center"/>
    </xf>
    <xf numFmtId="49" fontId="116" fillId="0" borderId="10" xfId="0" applyNumberFormat="1" applyFont="1" applyBorder="1" applyAlignment="1" applyProtection="1">
      <alignment horizontal="center" vertical="center"/>
    </xf>
    <xf numFmtId="49" fontId="116" fillId="0" borderId="127" xfId="0" applyNumberFormat="1" applyFont="1" applyBorder="1" applyAlignment="1" applyProtection="1">
      <alignment horizontal="center" vertical="center"/>
    </xf>
    <xf numFmtId="49" fontId="113" fillId="0" borderId="131" xfId="0" applyNumberFormat="1" applyFont="1" applyBorder="1" applyAlignment="1">
      <alignment horizontal="center" vertical="center" wrapText="1"/>
    </xf>
    <xf numFmtId="49" fontId="113" fillId="0" borderId="128" xfId="0" applyNumberFormat="1" applyFont="1" applyBorder="1" applyAlignment="1">
      <alignment horizontal="center" vertical="center" wrapText="1"/>
    </xf>
    <xf numFmtId="49" fontId="113" fillId="0" borderId="145" xfId="0" applyNumberFormat="1" applyFont="1" applyBorder="1" applyAlignment="1">
      <alignment horizontal="center" vertical="center" wrapText="1"/>
    </xf>
    <xf numFmtId="49" fontId="113" fillId="0" borderId="264" xfId="0" applyNumberFormat="1" applyFont="1" applyBorder="1" applyAlignment="1">
      <alignment horizontal="center" vertical="center" wrapText="1"/>
    </xf>
    <xf numFmtId="49" fontId="113" fillId="0" borderId="0" xfId="0" applyNumberFormat="1" applyFont="1" applyBorder="1" applyAlignment="1">
      <alignment horizontal="center" vertical="center" wrapText="1"/>
    </xf>
    <xf numFmtId="49" fontId="113" fillId="0" borderId="12" xfId="0" applyNumberFormat="1" applyFont="1" applyBorder="1" applyAlignment="1">
      <alignment horizontal="center" vertical="center" wrapText="1"/>
    </xf>
    <xf numFmtId="49" fontId="113" fillId="0" borderId="130" xfId="0" applyNumberFormat="1" applyFont="1" applyBorder="1" applyAlignment="1">
      <alignment horizontal="center" vertical="center" wrapText="1"/>
    </xf>
    <xf numFmtId="49" fontId="113" fillId="0" borderId="6" xfId="0" applyNumberFormat="1" applyFont="1" applyBorder="1" applyAlignment="1">
      <alignment horizontal="center" vertical="center" wrapText="1"/>
    </xf>
    <xf numFmtId="49" fontId="113" fillId="0" borderId="5" xfId="0" applyNumberFormat="1" applyFont="1" applyBorder="1" applyAlignment="1">
      <alignment horizontal="center" vertical="center" wrapText="1"/>
    </xf>
    <xf numFmtId="0" fontId="117" fillId="0" borderId="8" xfId="0" applyFont="1" applyBorder="1" applyAlignment="1" applyProtection="1">
      <alignment horizontal="left" vertical="center"/>
    </xf>
    <xf numFmtId="0" fontId="117" fillId="0" borderId="137" xfId="0" applyFont="1" applyBorder="1" applyAlignment="1" applyProtection="1">
      <alignment horizontal="left" vertical="center"/>
    </xf>
    <xf numFmtId="49" fontId="115" fillId="0" borderId="128" xfId="0" applyNumberFormat="1" applyFont="1" applyBorder="1" applyAlignment="1" applyProtection="1">
      <alignment horizontal="center" vertical="center"/>
    </xf>
    <xf numFmtId="49" fontId="115" fillId="0" borderId="6" xfId="0" applyNumberFormat="1" applyFont="1" applyBorder="1" applyAlignment="1" applyProtection="1">
      <alignment horizontal="center" vertical="center"/>
    </xf>
    <xf numFmtId="49" fontId="116" fillId="0" borderId="132" xfId="0" applyNumberFormat="1" applyFont="1" applyBorder="1" applyAlignment="1" applyProtection="1">
      <alignment horizontal="center" vertical="center"/>
    </xf>
    <xf numFmtId="49" fontId="116" fillId="0" borderId="8" xfId="0" applyNumberFormat="1" applyFont="1" applyBorder="1" applyAlignment="1" applyProtection="1">
      <alignment horizontal="center" vertical="center"/>
    </xf>
    <xf numFmtId="49" fontId="119" fillId="0" borderId="129" xfId="0" applyNumberFormat="1" applyFont="1" applyBorder="1" applyAlignment="1" applyProtection="1">
      <alignment horizontal="center" vertical="center"/>
    </xf>
    <xf numFmtId="49" fontId="119" fillId="0" borderId="10" xfId="0" applyNumberFormat="1" applyFont="1" applyBorder="1" applyAlignment="1" applyProtection="1">
      <alignment horizontal="center" vertical="center"/>
    </xf>
    <xf numFmtId="49" fontId="119" fillId="0" borderId="130" xfId="0" applyNumberFormat="1" applyFont="1" applyBorder="1" applyAlignment="1" applyProtection="1">
      <alignment horizontal="center" vertical="center"/>
    </xf>
    <xf numFmtId="49" fontId="119" fillId="0" borderId="6" xfId="0" applyNumberFormat="1" applyFont="1" applyBorder="1" applyAlignment="1" applyProtection="1">
      <alignment horizontal="center" vertical="center"/>
    </xf>
    <xf numFmtId="0" fontId="116" fillId="0" borderId="2" xfId="0" applyFont="1" applyBorder="1" applyAlignment="1" applyProtection="1">
      <alignment horizontal="center" vertical="center"/>
    </xf>
    <xf numFmtId="0" fontId="116" fillId="0" borderId="3" xfId="0" applyFont="1" applyBorder="1" applyAlignment="1" applyProtection="1">
      <alignment horizontal="center" vertical="center"/>
    </xf>
    <xf numFmtId="49" fontId="113" fillId="0" borderId="318" xfId="0" applyNumberFormat="1" applyFont="1" applyBorder="1" applyAlignment="1">
      <alignment horizontal="center" vertical="center" wrapText="1"/>
    </xf>
    <xf numFmtId="49" fontId="113" fillId="0" borderId="319" xfId="0" applyNumberFormat="1" applyFont="1" applyBorder="1" applyAlignment="1">
      <alignment horizontal="center" vertical="center" wrapText="1"/>
    </xf>
    <xf numFmtId="49" fontId="113" fillId="0" borderId="320" xfId="0" applyNumberFormat="1" applyFont="1" applyBorder="1" applyAlignment="1">
      <alignment horizontal="center" vertical="center" wrapText="1"/>
    </xf>
    <xf numFmtId="49" fontId="113" fillId="0" borderId="321" xfId="0" applyNumberFormat="1" applyFont="1" applyBorder="1" applyAlignment="1">
      <alignment horizontal="center" vertical="center" wrapText="1"/>
    </xf>
    <xf numFmtId="49" fontId="113" fillId="0" borderId="322" xfId="0" applyNumberFormat="1" applyFont="1" applyBorder="1" applyAlignment="1">
      <alignment horizontal="center" vertical="center" wrapText="1"/>
    </xf>
    <xf numFmtId="49" fontId="113" fillId="0" borderId="323" xfId="0" applyNumberFormat="1" applyFont="1" applyBorder="1" applyAlignment="1">
      <alignment horizontal="center" vertical="center" wrapText="1"/>
    </xf>
    <xf numFmtId="49" fontId="113" fillId="0" borderId="324" xfId="0" applyNumberFormat="1" applyFont="1" applyBorder="1" applyAlignment="1">
      <alignment horizontal="center" vertical="center" wrapText="1"/>
    </xf>
    <xf numFmtId="49" fontId="113" fillId="0" borderId="325" xfId="0" applyNumberFormat="1" applyFont="1" applyBorder="1" applyAlignment="1">
      <alignment horizontal="center" vertical="center" wrapText="1"/>
    </xf>
    <xf numFmtId="49" fontId="113" fillId="0" borderId="326" xfId="0" applyNumberFormat="1" applyFont="1" applyBorder="1" applyAlignment="1">
      <alignment horizontal="center" vertical="center" wrapText="1"/>
    </xf>
    <xf numFmtId="0" fontId="116" fillId="0" borderId="6" xfId="0" applyNumberFormat="1" applyFont="1" applyBorder="1" applyAlignment="1" applyProtection="1">
      <alignment horizontal="center" vertical="center"/>
    </xf>
    <xf numFmtId="49" fontId="115" fillId="0" borderId="0" xfId="0" applyNumberFormat="1" applyFont="1" applyBorder="1" applyAlignment="1" applyProtection="1">
      <alignment horizontal="center" vertical="center"/>
    </xf>
    <xf numFmtId="0" fontId="121" fillId="0" borderId="143" xfId="0" applyFont="1" applyBorder="1" applyAlignment="1" applyProtection="1">
      <alignment horizontal="center" vertical="center"/>
    </xf>
    <xf numFmtId="0" fontId="121" fillId="0" borderId="144" xfId="0" applyFont="1" applyBorder="1" applyAlignment="1" applyProtection="1">
      <alignment horizontal="center" vertical="center"/>
    </xf>
    <xf numFmtId="0" fontId="121" fillId="0" borderId="10" xfId="0" applyFont="1" applyBorder="1" applyAlignment="1" applyProtection="1">
      <alignment horizontal="center" vertical="center"/>
    </xf>
    <xf numFmtId="0" fontId="121" fillId="0" borderId="14" xfId="0" applyFont="1" applyBorder="1" applyAlignment="1" applyProtection="1">
      <alignment horizontal="center" vertical="center"/>
    </xf>
    <xf numFmtId="0" fontId="116" fillId="0" borderId="8" xfId="0" applyNumberFormat="1" applyFont="1" applyBorder="1" applyAlignment="1" applyProtection="1">
      <alignment horizontal="center" vertical="center"/>
      <protection locked="0"/>
    </xf>
    <xf numFmtId="49" fontId="113" fillId="0" borderId="8" xfId="0" applyNumberFormat="1" applyFont="1" applyBorder="1" applyAlignment="1" applyProtection="1">
      <alignment horizontal="left" vertical="center"/>
    </xf>
    <xf numFmtId="49" fontId="113" fillId="0" borderId="137" xfId="0" applyNumberFormat="1" applyFont="1" applyBorder="1" applyAlignment="1" applyProtection="1">
      <alignment horizontal="left" vertical="center"/>
    </xf>
    <xf numFmtId="0" fontId="113" fillId="0" borderId="8" xfId="0" applyFont="1" applyBorder="1" applyAlignment="1" applyProtection="1">
      <alignment horizontal="center" vertical="center"/>
    </xf>
    <xf numFmtId="0" fontId="113" fillId="0" borderId="6" xfId="0" applyFont="1" applyBorder="1" applyAlignment="1" applyProtection="1">
      <alignment horizontal="center" vertical="center"/>
    </xf>
    <xf numFmtId="0" fontId="116" fillId="0" borderId="6" xfId="0" applyFont="1" applyBorder="1" applyAlignment="1" applyProtection="1">
      <alignment horizontal="center" vertical="center"/>
    </xf>
    <xf numFmtId="0" fontId="116" fillId="0" borderId="5" xfId="0" applyFont="1" applyBorder="1" applyAlignment="1" applyProtection="1">
      <alignment horizontal="center" vertical="center"/>
    </xf>
    <xf numFmtId="49" fontId="113" fillId="0" borderId="8" xfId="0" applyNumberFormat="1" applyFont="1" applyBorder="1" applyAlignment="1" applyProtection="1">
      <alignment horizontal="right" vertical="center"/>
    </xf>
    <xf numFmtId="0" fontId="113" fillId="0" borderId="0" xfId="0" applyFont="1" applyBorder="1" applyAlignment="1" applyProtection="1">
      <alignment horizontal="center" vertical="center"/>
    </xf>
    <xf numFmtId="49" fontId="118" fillId="0" borderId="8" xfId="0" applyNumberFormat="1" applyFont="1" applyBorder="1" applyAlignment="1" applyProtection="1">
      <alignment horizontal="left" vertical="center"/>
    </xf>
    <xf numFmtId="49" fontId="118" fillId="0" borderId="137" xfId="0" applyNumberFormat="1" applyFont="1" applyBorder="1" applyAlignment="1" applyProtection="1">
      <alignment horizontal="left" vertical="center"/>
    </xf>
    <xf numFmtId="187" fontId="116" fillId="0" borderId="128" xfId="0" applyNumberFormat="1" applyFont="1" applyBorder="1" applyAlignment="1" applyProtection="1">
      <alignment horizontal="center" vertical="center"/>
    </xf>
    <xf numFmtId="49" fontId="116" fillId="0" borderId="0" xfId="0" applyNumberFormat="1" applyFont="1" applyBorder="1" applyAlignment="1" applyProtection="1">
      <alignment horizontal="left" vertical="center" shrinkToFit="1"/>
    </xf>
    <xf numFmtId="49" fontId="116" fillId="0" borderId="12" xfId="0" applyNumberFormat="1" applyFont="1" applyBorder="1" applyAlignment="1" applyProtection="1">
      <alignment horizontal="left" vertical="center" shrinkToFit="1"/>
    </xf>
    <xf numFmtId="0" fontId="114" fillId="0" borderId="6" xfId="0" applyFont="1" applyBorder="1" applyAlignment="1" applyProtection="1">
      <alignment horizontal="center" vertical="center" wrapText="1"/>
    </xf>
    <xf numFmtId="0" fontId="114" fillId="0" borderId="6" xfId="0" applyFont="1" applyBorder="1" applyAlignment="1" applyProtection="1">
      <alignment horizontal="center" vertical="center"/>
    </xf>
    <xf numFmtId="0" fontId="116" fillId="0" borderId="8" xfId="0" applyNumberFormat="1" applyFont="1" applyBorder="1" applyAlignment="1" applyProtection="1">
      <alignment horizontal="center" vertical="center"/>
    </xf>
    <xf numFmtId="0" fontId="121" fillId="0" borderId="13" xfId="0" applyFont="1" applyBorder="1" applyAlignment="1" applyProtection="1">
      <alignment horizontal="center" vertical="center"/>
    </xf>
    <xf numFmtId="0" fontId="121" fillId="0" borderId="11" xfId="0" applyFont="1" applyBorder="1" applyAlignment="1" applyProtection="1">
      <alignment horizontal="center" vertical="center"/>
    </xf>
    <xf numFmtId="49" fontId="113" fillId="0" borderId="1" xfId="0" applyNumberFormat="1" applyFont="1" applyBorder="1" applyAlignment="1" applyProtection="1">
      <alignment horizontal="center" vertical="center" textRotation="255"/>
    </xf>
    <xf numFmtId="49" fontId="113" fillId="0" borderId="136" xfId="0" applyNumberFormat="1" applyFont="1" applyBorder="1" applyAlignment="1" applyProtection="1">
      <alignment horizontal="center" vertical="center" textRotation="255"/>
    </xf>
    <xf numFmtId="181" fontId="119" fillId="0" borderId="129" xfId="0" applyNumberFormat="1" applyFont="1" applyBorder="1" applyAlignment="1" applyProtection="1">
      <alignment horizontal="center" vertical="center"/>
      <protection locked="0"/>
    </xf>
    <xf numFmtId="181" fontId="119" fillId="0" borderId="10" xfId="0" applyNumberFormat="1" applyFont="1" applyBorder="1" applyAlignment="1" applyProtection="1">
      <alignment horizontal="center" vertical="center"/>
      <protection locked="0"/>
    </xf>
    <xf numFmtId="181" fontId="119" fillId="0" borderId="130" xfId="0" applyNumberFormat="1" applyFont="1" applyBorder="1" applyAlignment="1" applyProtection="1">
      <alignment horizontal="center" vertical="center"/>
      <protection locked="0"/>
    </xf>
    <xf numFmtId="181" fontId="119" fillId="0" borderId="6" xfId="0" applyNumberFormat="1" applyFont="1" applyBorder="1" applyAlignment="1" applyProtection="1">
      <alignment horizontal="center" vertical="center"/>
      <protection locked="0"/>
    </xf>
    <xf numFmtId="49" fontId="116" fillId="0" borderId="128" xfId="0" applyNumberFormat="1" applyFont="1" applyBorder="1" applyAlignment="1">
      <alignment horizontal="center" vertical="center"/>
    </xf>
    <xf numFmtId="49" fontId="116" fillId="0" borderId="6" xfId="0" applyNumberFormat="1" applyFont="1" applyBorder="1" applyAlignment="1">
      <alignment horizontal="center" vertical="center"/>
    </xf>
    <xf numFmtId="181" fontId="115" fillId="0" borderId="128" xfId="0" applyNumberFormat="1" applyFont="1" applyBorder="1" applyAlignment="1" applyProtection="1">
      <alignment horizontal="center" vertical="center" shrinkToFit="1"/>
      <protection locked="0"/>
    </xf>
    <xf numFmtId="181" fontId="115" fillId="0" borderId="6" xfId="0" applyNumberFormat="1" applyFont="1" applyBorder="1" applyAlignment="1" applyProtection="1">
      <alignment horizontal="center" vertical="center" shrinkToFit="1"/>
      <protection locked="0"/>
    </xf>
    <xf numFmtId="181" fontId="115" fillId="0" borderId="131" xfId="0" applyNumberFormat="1" applyFont="1" applyBorder="1" applyAlignment="1" applyProtection="1">
      <alignment horizontal="center" vertical="center" shrinkToFit="1"/>
      <protection locked="0"/>
    </xf>
    <xf numFmtId="181" fontId="115" fillId="0" borderId="130" xfId="0" applyNumberFormat="1" applyFont="1" applyBorder="1" applyAlignment="1" applyProtection="1">
      <alignment horizontal="center" vertical="center" shrinkToFit="1"/>
      <protection locked="0"/>
    </xf>
    <xf numFmtId="0" fontId="117" fillId="0" borderId="132" xfId="0" applyFont="1" applyBorder="1" applyAlignment="1" applyProtection="1">
      <alignment horizontal="center" vertical="center"/>
      <protection locked="0"/>
    </xf>
    <xf numFmtId="0" fontId="117" fillId="0" borderId="8" xfId="0" applyFont="1" applyBorder="1" applyAlignment="1" applyProtection="1">
      <alignment horizontal="center" vertical="center"/>
      <protection locked="0"/>
    </xf>
    <xf numFmtId="49" fontId="120" fillId="0" borderId="8" xfId="0" applyNumberFormat="1" applyFont="1" applyBorder="1" applyAlignment="1" applyProtection="1">
      <alignment horizontal="center" vertical="center"/>
      <protection locked="0"/>
    </xf>
    <xf numFmtId="49" fontId="116" fillId="0" borderId="142" xfId="0" applyNumberFormat="1" applyFont="1" applyBorder="1" applyAlignment="1">
      <alignment horizontal="center" vertical="center"/>
    </xf>
    <xf numFmtId="49" fontId="116" fillId="0" borderId="135" xfId="0" applyNumberFormat="1" applyFont="1" applyBorder="1" applyAlignment="1">
      <alignment horizontal="center" vertical="center"/>
    </xf>
    <xf numFmtId="49" fontId="116" fillId="0" borderId="4" xfId="0" applyNumberFormat="1" applyFont="1" applyBorder="1" applyAlignment="1">
      <alignment horizontal="center" vertical="center"/>
    </xf>
    <xf numFmtId="0" fontId="111" fillId="0" borderId="0" xfId="0" applyFont="1" applyBorder="1" applyAlignment="1" applyProtection="1">
      <alignment horizontal="center" vertical="center"/>
    </xf>
    <xf numFmtId="49" fontId="113" fillId="0" borderId="141" xfId="0" applyNumberFormat="1" applyFont="1" applyBorder="1" applyAlignment="1" applyProtection="1">
      <alignment horizontal="center" vertical="center" textRotation="255"/>
    </xf>
    <xf numFmtId="49" fontId="113" fillId="0" borderId="134" xfId="0" applyNumberFormat="1" applyFont="1" applyBorder="1" applyAlignment="1" applyProtection="1">
      <alignment horizontal="center" vertical="center" textRotation="255"/>
    </xf>
    <xf numFmtId="49" fontId="114" fillId="0" borderId="10" xfId="0" applyNumberFormat="1" applyFont="1" applyBorder="1" applyAlignment="1" applyProtection="1">
      <alignment horizontal="center" vertical="center"/>
    </xf>
    <xf numFmtId="0" fontId="111" fillId="0" borderId="0" xfId="0" applyFont="1" applyBorder="1" applyAlignment="1">
      <alignment horizontal="center" vertical="center"/>
    </xf>
    <xf numFmtId="0" fontId="114" fillId="0" borderId="0" xfId="0" applyFont="1" applyBorder="1" applyAlignment="1" applyProtection="1">
      <alignment horizontal="center" vertical="center"/>
      <protection locked="0"/>
    </xf>
    <xf numFmtId="0" fontId="114" fillId="0" borderId="12" xfId="0" applyFont="1" applyBorder="1" applyAlignment="1" applyProtection="1">
      <alignment horizontal="center" vertical="center"/>
      <protection locked="0"/>
    </xf>
    <xf numFmtId="49" fontId="114" fillId="0" borderId="14" xfId="0" applyNumberFormat="1" applyFont="1" applyBorder="1" applyAlignment="1" applyProtection="1">
      <alignment horizontal="center" vertical="center"/>
    </xf>
    <xf numFmtId="49" fontId="113" fillId="0" borderId="2" xfId="0" applyNumberFormat="1" applyFont="1" applyBorder="1" applyAlignment="1" applyProtection="1">
      <alignment horizontal="center" vertical="center"/>
    </xf>
    <xf numFmtId="49" fontId="115" fillId="0" borderId="2" xfId="0" applyNumberFormat="1" applyFont="1" applyBorder="1" applyAlignment="1" applyProtection="1">
      <alignment horizontal="center" vertical="center" shrinkToFit="1"/>
    </xf>
    <xf numFmtId="49" fontId="115" fillId="0" borderId="3" xfId="0" applyNumberFormat="1" applyFont="1" applyBorder="1" applyAlignment="1" applyProtection="1">
      <alignment horizontal="center" vertical="center" shrinkToFit="1"/>
    </xf>
    <xf numFmtId="0" fontId="113" fillId="0" borderId="141" xfId="0" applyFont="1" applyBorder="1" applyAlignment="1" applyProtection="1">
      <alignment horizontal="center" vertical="center" wrapText="1"/>
    </xf>
    <xf numFmtId="187" fontId="116" fillId="0" borderId="128" xfId="0" applyNumberFormat="1" applyFont="1" applyBorder="1" applyAlignment="1" applyProtection="1">
      <alignment horizontal="center" vertical="center"/>
      <protection locked="0"/>
    </xf>
    <xf numFmtId="0" fontId="114" fillId="0" borderId="10" xfId="0" applyNumberFormat="1" applyFont="1" applyBorder="1" applyAlignment="1" applyProtection="1">
      <alignment horizontal="center" vertical="center"/>
      <protection locked="0"/>
    </xf>
    <xf numFmtId="0" fontId="114" fillId="0" borderId="14" xfId="0" applyNumberFormat="1" applyFont="1" applyBorder="1" applyAlignment="1" applyProtection="1">
      <alignment horizontal="center" vertical="center"/>
      <protection locked="0"/>
    </xf>
    <xf numFmtId="49" fontId="115" fillId="0" borderId="2" xfId="0" applyNumberFormat="1" applyFont="1" applyBorder="1" applyAlignment="1" applyProtection="1">
      <alignment horizontal="center" vertical="center" shrinkToFit="1"/>
      <protection locked="0"/>
    </xf>
    <xf numFmtId="49" fontId="115" fillId="0" borderId="3" xfId="0" applyNumberFormat="1" applyFont="1" applyBorder="1" applyAlignment="1" applyProtection="1">
      <alignment horizontal="center" vertical="center" shrinkToFit="1"/>
      <protection locked="0"/>
    </xf>
    <xf numFmtId="0" fontId="116" fillId="0" borderId="6" xfId="0" applyFont="1" applyBorder="1" applyAlignment="1" applyProtection="1">
      <alignment horizontal="center" vertical="center"/>
      <protection locked="0"/>
    </xf>
    <xf numFmtId="0" fontId="116" fillId="0" borderId="5" xfId="0" applyFont="1" applyBorder="1" applyAlignment="1" applyProtection="1">
      <alignment horizontal="center" vertical="center"/>
      <protection locked="0"/>
    </xf>
    <xf numFmtId="49" fontId="94" fillId="0" borderId="0" xfId="0" applyNumberFormat="1" applyFont="1" applyBorder="1" applyAlignment="1" applyProtection="1">
      <alignment horizontal="left" vertical="center"/>
      <protection locked="0"/>
    </xf>
    <xf numFmtId="49" fontId="113" fillId="0" borderId="1" xfId="0" applyNumberFormat="1" applyFont="1" applyBorder="1" applyAlignment="1">
      <alignment horizontal="center" vertical="center" textRotation="255"/>
    </xf>
    <xf numFmtId="49" fontId="113" fillId="0" borderId="136" xfId="0" applyNumberFormat="1" applyFont="1" applyBorder="1" applyAlignment="1">
      <alignment horizontal="center" vertical="center" textRotation="255"/>
    </xf>
    <xf numFmtId="49" fontId="113" fillId="0" borderId="138" xfId="0" applyNumberFormat="1" applyFont="1" applyBorder="1" applyAlignment="1">
      <alignment horizontal="center" vertical="center" textRotation="255"/>
    </xf>
    <xf numFmtId="49" fontId="113" fillId="0" borderId="139" xfId="0" applyNumberFormat="1" applyFont="1" applyBorder="1" applyAlignment="1">
      <alignment horizontal="center" vertical="center" textRotation="255"/>
    </xf>
    <xf numFmtId="49" fontId="116" fillId="0" borderId="143" xfId="0" applyNumberFormat="1" applyFont="1" applyBorder="1" applyAlignment="1" applyProtection="1">
      <alignment horizontal="center" vertical="center"/>
      <protection locked="0"/>
    </xf>
    <xf numFmtId="49" fontId="116" fillId="0" borderId="144" xfId="0" applyNumberFormat="1" applyFont="1" applyBorder="1" applyAlignment="1" applyProtection="1">
      <alignment horizontal="center" vertical="center"/>
      <protection locked="0"/>
    </xf>
    <xf numFmtId="49" fontId="116" fillId="0" borderId="10" xfId="0" applyNumberFormat="1" applyFont="1" applyBorder="1" applyAlignment="1">
      <alignment horizontal="center" vertical="center"/>
    </xf>
    <xf numFmtId="49" fontId="116" fillId="0" borderId="127" xfId="0" applyNumberFormat="1" applyFont="1" applyBorder="1" applyAlignment="1">
      <alignment horizontal="center" vertical="center"/>
    </xf>
    <xf numFmtId="49" fontId="116" fillId="0" borderId="7" xfId="0" applyNumberFormat="1" applyFont="1" applyBorder="1" applyAlignment="1">
      <alignment horizontal="center" vertical="center"/>
    </xf>
    <xf numFmtId="0" fontId="101" fillId="0" borderId="135" xfId="0" applyFont="1" applyBorder="1">
      <alignment vertical="center"/>
    </xf>
    <xf numFmtId="0" fontId="101" fillId="0" borderId="136" xfId="0" applyFont="1" applyBorder="1">
      <alignment vertical="center"/>
    </xf>
    <xf numFmtId="0" fontId="116" fillId="0" borderId="2" xfId="0" applyFont="1" applyBorder="1" applyAlignment="1" applyProtection="1">
      <alignment horizontal="center" vertical="center"/>
      <protection locked="0"/>
    </xf>
    <xf numFmtId="0" fontId="116" fillId="0" borderId="3" xfId="0" applyFont="1" applyBorder="1" applyAlignment="1" applyProtection="1">
      <alignment horizontal="center" vertical="center"/>
      <protection locked="0"/>
    </xf>
    <xf numFmtId="178" fontId="116" fillId="0" borderId="6" xfId="0" applyNumberFormat="1" applyFont="1" applyBorder="1" applyAlignment="1" applyProtection="1">
      <alignment horizontal="center" vertical="center"/>
      <protection locked="0"/>
    </xf>
    <xf numFmtId="0" fontId="117" fillId="0" borderId="8" xfId="0" applyFont="1" applyBorder="1" applyAlignment="1">
      <alignment horizontal="left" vertical="center"/>
    </xf>
    <xf numFmtId="0" fontId="117" fillId="0" borderId="137" xfId="0" applyFont="1" applyBorder="1" applyAlignment="1">
      <alignment horizontal="left" vertical="center"/>
    </xf>
    <xf numFmtId="0" fontId="62" fillId="0" borderId="0" xfId="0" applyFont="1" applyBorder="1" applyAlignment="1">
      <alignment horizontal="center" vertical="center"/>
    </xf>
    <xf numFmtId="49" fontId="116" fillId="0" borderId="140" xfId="0" applyNumberFormat="1" applyFont="1" applyBorder="1" applyAlignment="1">
      <alignment horizontal="center" vertical="center"/>
    </xf>
    <xf numFmtId="49" fontId="116" fillId="0" borderId="128" xfId="0" applyNumberFormat="1" applyFont="1" applyBorder="1" applyAlignment="1" applyProtection="1">
      <alignment horizontal="center" vertical="center"/>
      <protection locked="0"/>
    </xf>
    <xf numFmtId="49" fontId="116" fillId="0" borderId="6" xfId="0" applyNumberFormat="1" applyFont="1" applyBorder="1" applyAlignment="1" applyProtection="1">
      <alignment horizontal="center" vertical="center"/>
      <protection locked="0"/>
    </xf>
    <xf numFmtId="49" fontId="113" fillId="0" borderId="133" xfId="0" applyNumberFormat="1" applyFont="1" applyBorder="1" applyAlignment="1" applyProtection="1">
      <alignment horizontal="center" vertical="center" textRotation="255"/>
    </xf>
    <xf numFmtId="181" fontId="116" fillId="0" borderId="132" xfId="0" applyNumberFormat="1" applyFont="1" applyBorder="1" applyAlignment="1" applyProtection="1">
      <alignment horizontal="center" vertical="center"/>
      <protection locked="0"/>
    </xf>
    <xf numFmtId="181" fontId="116" fillId="0" borderId="8" xfId="0" applyNumberFormat="1" applyFont="1" applyBorder="1" applyAlignment="1" applyProtection="1">
      <alignment horizontal="center" vertical="center"/>
      <protection locked="0"/>
    </xf>
    <xf numFmtId="49" fontId="113" fillId="0" borderId="131" xfId="0" applyNumberFormat="1" applyFont="1" applyBorder="1" applyAlignment="1">
      <alignment horizontal="left" vertical="center" wrapText="1" shrinkToFit="1"/>
    </xf>
    <xf numFmtId="49" fontId="113" fillId="0" borderId="128" xfId="0" applyNumberFormat="1" applyFont="1" applyBorder="1" applyAlignment="1">
      <alignment horizontal="left" vertical="center" shrinkToFit="1"/>
    </xf>
    <xf numFmtId="49" fontId="113" fillId="0" borderId="140" xfId="0" applyNumberFormat="1" applyFont="1" applyBorder="1" applyAlignment="1">
      <alignment horizontal="left" vertical="center" shrinkToFit="1"/>
    </xf>
    <xf numFmtId="49" fontId="113" fillId="0" borderId="264" xfId="0" applyNumberFormat="1" applyFont="1" applyBorder="1" applyAlignment="1">
      <alignment horizontal="left" vertical="center" shrinkToFit="1"/>
    </xf>
    <xf numFmtId="49" fontId="113" fillId="0" borderId="0" xfId="0" applyNumberFormat="1" applyFont="1" applyBorder="1" applyAlignment="1">
      <alignment horizontal="left" vertical="center" shrinkToFit="1"/>
    </xf>
    <xf numFmtId="49" fontId="113" fillId="0" borderId="124" xfId="0" applyNumberFormat="1" applyFont="1" applyBorder="1" applyAlignment="1">
      <alignment horizontal="left" vertical="center" shrinkToFit="1"/>
    </xf>
    <xf numFmtId="49" fontId="113" fillId="0" borderId="130" xfId="0" applyNumberFormat="1" applyFont="1" applyBorder="1" applyAlignment="1">
      <alignment horizontal="left" vertical="center" shrinkToFit="1"/>
    </xf>
    <xf numFmtId="49" fontId="113" fillId="0" borderId="6" xfId="0" applyNumberFormat="1" applyFont="1" applyBorder="1" applyAlignment="1">
      <alignment horizontal="left" vertical="center" shrinkToFit="1"/>
    </xf>
    <xf numFmtId="49" fontId="113" fillId="0" borderId="7" xfId="0" applyNumberFormat="1" applyFont="1" applyBorder="1" applyAlignment="1">
      <alignment horizontal="left" vertical="center" shrinkToFit="1"/>
    </xf>
    <xf numFmtId="49" fontId="120" fillId="0" borderId="132" xfId="0" applyNumberFormat="1" applyFont="1" applyBorder="1" applyAlignment="1">
      <alignment horizontal="center" vertical="center"/>
    </xf>
    <xf numFmtId="49" fontId="120" fillId="0" borderId="8" xfId="0" applyNumberFormat="1" applyFont="1" applyBorder="1" applyAlignment="1">
      <alignment horizontal="center" vertical="center"/>
    </xf>
    <xf numFmtId="0" fontId="117" fillId="0" borderId="0" xfId="0" applyFont="1" applyBorder="1" applyAlignment="1" applyProtection="1">
      <alignment horizontal="center" vertical="center" wrapText="1"/>
      <protection locked="0"/>
    </xf>
    <xf numFmtId="0" fontId="121" fillId="0" borderId="0" xfId="0" applyFont="1" applyBorder="1" applyAlignment="1" applyProtection="1">
      <alignment horizontal="center" vertical="center" wrapText="1"/>
      <protection locked="0"/>
    </xf>
    <xf numFmtId="49" fontId="113" fillId="0" borderId="141" xfId="0" applyNumberFormat="1" applyFont="1" applyBorder="1" applyAlignment="1">
      <alignment horizontal="center" vertical="center" textRotation="255"/>
    </xf>
    <xf numFmtId="49" fontId="113" fillId="0" borderId="133" xfId="0" applyNumberFormat="1" applyFont="1" applyBorder="1" applyAlignment="1">
      <alignment horizontal="center" vertical="center" textRotation="255"/>
    </xf>
    <xf numFmtId="0" fontId="121" fillId="0" borderId="0" xfId="0" applyFont="1" applyBorder="1" applyAlignment="1" applyProtection="1">
      <alignment horizontal="center" vertical="center"/>
      <protection locked="0"/>
    </xf>
    <xf numFmtId="0" fontId="113" fillId="0" borderId="264" xfId="0" applyFont="1" applyBorder="1" applyAlignment="1">
      <alignment horizontal="center" vertical="center" wrapText="1"/>
    </xf>
    <xf numFmtId="0" fontId="113" fillId="0" borderId="0" xfId="0" applyFont="1" applyBorder="1" applyAlignment="1">
      <alignment horizontal="center" vertical="center" wrapText="1"/>
    </xf>
    <xf numFmtId="0" fontId="113" fillId="0" borderId="124" xfId="0" applyFont="1" applyBorder="1" applyAlignment="1">
      <alignment horizontal="center" vertical="center" wrapText="1"/>
    </xf>
    <xf numFmtId="0" fontId="113" fillId="0" borderId="291" xfId="0" applyFont="1" applyBorder="1" applyAlignment="1">
      <alignment horizontal="center" vertical="center" wrapText="1"/>
    </xf>
    <xf numFmtId="0" fontId="113" fillId="0" borderId="2" xfId="0" applyFont="1" applyBorder="1" applyAlignment="1">
      <alignment horizontal="center" vertical="center" wrapText="1"/>
    </xf>
    <xf numFmtId="0" fontId="113" fillId="0" borderId="1" xfId="0" applyFont="1" applyBorder="1" applyAlignment="1">
      <alignment horizontal="center" vertical="center" wrapText="1"/>
    </xf>
    <xf numFmtId="0" fontId="121" fillId="0" borderId="10" xfId="0" applyFont="1" applyBorder="1" applyAlignment="1" applyProtection="1">
      <alignment horizontal="center" vertical="center" shrinkToFit="1"/>
    </xf>
    <xf numFmtId="0" fontId="121" fillId="0" borderId="127" xfId="0" applyFont="1" applyBorder="1" applyAlignment="1" applyProtection="1">
      <alignment horizontal="center" vertical="center" shrinkToFit="1"/>
    </xf>
    <xf numFmtId="176" fontId="111" fillId="0" borderId="0" xfId="0" applyNumberFormat="1" applyFont="1" applyBorder="1" applyAlignment="1" applyProtection="1">
      <alignment horizontal="right" vertical="center"/>
      <protection locked="0"/>
    </xf>
    <xf numFmtId="176" fontId="111" fillId="0" borderId="2" xfId="0" applyNumberFormat="1" applyFont="1" applyBorder="1" applyAlignment="1" applyProtection="1">
      <alignment horizontal="right" vertical="center"/>
      <protection locked="0"/>
    </xf>
    <xf numFmtId="0" fontId="117" fillId="0" borderId="135" xfId="0" applyFont="1" applyBorder="1" applyAlignment="1" applyProtection="1">
      <alignment horizontal="center" vertical="center"/>
      <protection locked="0"/>
    </xf>
    <xf numFmtId="0" fontId="117" fillId="0" borderId="2" xfId="0" applyFont="1" applyBorder="1" applyAlignment="1" applyProtection="1">
      <alignment horizontal="center" vertical="center"/>
      <protection locked="0"/>
    </xf>
    <xf numFmtId="0" fontId="129" fillId="0" borderId="11" xfId="7" applyFont="1" applyBorder="1" applyAlignment="1">
      <alignment horizontal="center" vertical="center" textRotation="255"/>
    </xf>
    <xf numFmtId="0" fontId="129" fillId="0" borderId="2" xfId="7" applyFont="1" applyBorder="1" applyAlignment="1">
      <alignment horizontal="center" vertical="center" textRotation="255"/>
    </xf>
    <xf numFmtId="0" fontId="129" fillId="0" borderId="3" xfId="7" applyFont="1" applyBorder="1" applyAlignment="1">
      <alignment horizontal="center" vertical="center" textRotation="255"/>
    </xf>
    <xf numFmtId="181" fontId="135" fillId="0" borderId="13" xfId="7" applyNumberFormat="1" applyFont="1" applyBorder="1" applyAlignment="1">
      <alignment horizontal="center" vertical="center"/>
    </xf>
    <xf numFmtId="181" fontId="135" fillId="0" borderId="0" xfId="7" applyNumberFormat="1" applyFont="1" applyAlignment="1">
      <alignment horizontal="center" vertical="center"/>
    </xf>
    <xf numFmtId="181" fontId="135" fillId="0" borderId="12" xfId="7" applyNumberFormat="1" applyFont="1" applyBorder="1" applyAlignment="1">
      <alignment horizontal="center" vertical="center"/>
    </xf>
    <xf numFmtId="0" fontId="129" fillId="0" borderId="39" xfId="7" applyFont="1" applyBorder="1" applyAlignment="1">
      <alignment horizontal="center" vertical="center"/>
    </xf>
    <xf numFmtId="0" fontId="129" fillId="0" borderId="21" xfId="7" applyFont="1" applyBorder="1" applyAlignment="1">
      <alignment horizontal="center" vertical="center"/>
    </xf>
    <xf numFmtId="0" fontId="129" fillId="0" borderId="88" xfId="7" applyFont="1" applyBorder="1" applyAlignment="1">
      <alignment horizontal="center" vertical="center"/>
    </xf>
    <xf numFmtId="0" fontId="129" fillId="0" borderId="21" xfId="7" applyFont="1" applyBorder="1" applyAlignment="1">
      <alignment horizontal="center" vertical="center" wrapText="1"/>
    </xf>
    <xf numFmtId="0" fontId="114" fillId="14" borderId="21" xfId="0" applyFont="1" applyFill="1" applyBorder="1" applyAlignment="1">
      <alignment horizontal="center" vertical="center"/>
    </xf>
    <xf numFmtId="20" fontId="114" fillId="0" borderId="0" xfId="7" applyNumberFormat="1" applyFont="1" applyAlignment="1">
      <alignment horizontal="center" vertical="center"/>
    </xf>
    <xf numFmtId="20" fontId="114" fillId="0" borderId="2" xfId="7" applyNumberFormat="1" applyFont="1" applyBorder="1" applyAlignment="1">
      <alignment horizontal="center" vertical="center"/>
    </xf>
    <xf numFmtId="0" fontId="129" fillId="0" borderId="0" xfId="7" applyFont="1" applyAlignment="1">
      <alignment horizontal="center" vertical="center"/>
    </xf>
    <xf numFmtId="0" fontId="129" fillId="0" borderId="39" xfId="7" applyFont="1" applyBorder="1" applyAlignment="1">
      <alignment horizontal="center" vertical="center" textRotation="255"/>
    </xf>
    <xf numFmtId="0" fontId="129" fillId="0" borderId="21" xfId="7" applyFont="1" applyBorder="1" applyAlignment="1">
      <alignment horizontal="center" vertical="center" textRotation="255"/>
    </xf>
    <xf numFmtId="0" fontId="129" fillId="0" borderId="34" xfId="7" applyFont="1" applyBorder="1" applyAlignment="1">
      <alignment horizontal="center" vertical="center" textRotation="255"/>
    </xf>
    <xf numFmtId="181" fontId="135" fillId="0" borderId="146" xfId="7" applyNumberFormat="1" applyFont="1" applyBorder="1" applyAlignment="1">
      <alignment horizontal="center" vertical="center"/>
    </xf>
    <xf numFmtId="181" fontId="135" fillId="0" borderId="69" xfId="7" applyNumberFormat="1" applyFont="1" applyBorder="1" applyAlignment="1">
      <alignment horizontal="center" vertical="center"/>
    </xf>
    <xf numFmtId="181" fontId="135" fillId="0" borderId="147" xfId="7" applyNumberFormat="1" applyFont="1" applyBorder="1" applyAlignment="1">
      <alignment horizontal="center" vertical="center"/>
    </xf>
    <xf numFmtId="0" fontId="129" fillId="0" borderId="34" xfId="7" applyFont="1" applyBorder="1" applyAlignment="1">
      <alignment horizontal="center" vertical="center"/>
    </xf>
    <xf numFmtId="181" fontId="135" fillId="0" borderId="39" xfId="7" applyNumberFormat="1" applyFont="1" applyBorder="1" applyAlignment="1">
      <alignment horizontal="center" vertical="center"/>
    </xf>
    <xf numFmtId="181" fontId="135" fillId="0" borderId="21" xfId="7" applyNumberFormat="1" applyFont="1" applyBorder="1" applyAlignment="1">
      <alignment horizontal="center" vertical="center"/>
    </xf>
    <xf numFmtId="181" fontId="135" fillId="0" borderId="34" xfId="7" applyNumberFormat="1" applyFont="1" applyBorder="1" applyAlignment="1">
      <alignment horizontal="center" vertical="center"/>
    </xf>
    <xf numFmtId="0" fontId="129" fillId="0" borderId="38" xfId="7" applyFont="1" applyBorder="1" applyAlignment="1">
      <alignment horizontal="center" vertical="center" textRotation="255"/>
    </xf>
    <xf numFmtId="0" fontId="129" fillId="0" borderId="0" xfId="7" applyFont="1" applyAlignment="1">
      <alignment horizontal="left" vertical="center"/>
    </xf>
    <xf numFmtId="0" fontId="129" fillId="0" borderId="2" xfId="7" applyFont="1" applyBorder="1" applyAlignment="1">
      <alignment horizontal="center" vertical="center"/>
    </xf>
    <xf numFmtId="0" fontId="177" fillId="0" borderId="21" xfId="7" applyFont="1" applyBorder="1" applyAlignment="1" applyProtection="1">
      <alignment horizontal="left" vertical="center"/>
      <protection locked="0"/>
    </xf>
    <xf numFmtId="20" fontId="114" fillId="0" borderId="9" xfId="7" applyNumberFormat="1" applyFont="1" applyBorder="1" applyAlignment="1">
      <alignment horizontal="center" vertical="center"/>
    </xf>
    <xf numFmtId="0" fontId="101" fillId="0" borderId="2" xfId="0" applyFont="1" applyBorder="1" applyAlignment="1">
      <alignment horizontal="center" vertical="center"/>
    </xf>
    <xf numFmtId="0" fontId="117" fillId="0" borderId="0" xfId="0" applyFont="1" applyAlignment="1">
      <alignment horizontal="center" vertical="center"/>
    </xf>
    <xf numFmtId="0" fontId="117" fillId="0" borderId="2" xfId="0" applyFont="1" applyBorder="1" applyAlignment="1">
      <alignment horizontal="center" vertical="center"/>
    </xf>
    <xf numFmtId="0" fontId="131" fillId="0" borderId="0" xfId="0" applyFont="1" applyAlignment="1">
      <alignment horizontal="center" vertical="center" shrinkToFit="1"/>
    </xf>
    <xf numFmtId="0" fontId="131" fillId="0" borderId="2" xfId="0" applyFont="1" applyBorder="1" applyAlignment="1">
      <alignment horizontal="center" vertical="center" shrinkToFit="1"/>
    </xf>
    <xf numFmtId="0" fontId="101" fillId="0" borderId="0" xfId="0" applyFont="1" applyAlignment="1">
      <alignment horizontal="center" vertical="center"/>
    </xf>
    <xf numFmtId="0" fontId="106" fillId="0" borderId="0" xfId="0" applyFont="1" applyAlignment="1">
      <alignment horizontal="center" vertical="center"/>
    </xf>
    <xf numFmtId="181" fontId="127" fillId="0" borderId="0" xfId="0" applyNumberFormat="1" applyFont="1" applyAlignment="1">
      <alignment horizontal="center" vertical="center" shrinkToFit="1"/>
    </xf>
    <xf numFmtId="181" fontId="127" fillId="0" borderId="2" xfId="0" applyNumberFormat="1" applyFont="1" applyBorder="1" applyAlignment="1">
      <alignment horizontal="center" vertical="center" shrinkToFit="1"/>
    </xf>
    <xf numFmtId="0" fontId="101" fillId="0" borderId="0" xfId="0" applyFont="1">
      <alignment vertical="center"/>
    </xf>
    <xf numFmtId="0" fontId="101" fillId="0" borderId="2" xfId="0" applyFont="1" applyBorder="1">
      <alignment vertical="center"/>
    </xf>
    <xf numFmtId="181" fontId="124" fillId="0" borderId="0" xfId="0" applyNumberFormat="1" applyFont="1" applyAlignment="1">
      <alignment horizontal="center" vertical="center"/>
    </xf>
    <xf numFmtId="0" fontId="114" fillId="3" borderId="54" xfId="0" applyFont="1" applyFill="1" applyBorder="1" applyAlignment="1">
      <alignment horizontal="center" vertical="center"/>
    </xf>
    <xf numFmtId="0" fontId="114" fillId="3" borderId="17" xfId="0" applyFont="1" applyFill="1" applyBorder="1" applyAlignment="1">
      <alignment horizontal="center" vertical="center"/>
    </xf>
    <xf numFmtId="0" fontId="114" fillId="3" borderId="53" xfId="0" applyFont="1" applyFill="1" applyBorder="1" applyAlignment="1">
      <alignment horizontal="center" vertical="center"/>
    </xf>
    <xf numFmtId="0" fontId="124" fillId="0" borderId="2" xfId="0" applyFont="1" applyBorder="1" applyAlignment="1">
      <alignment horizontal="center" vertical="center"/>
    </xf>
    <xf numFmtId="0" fontId="135" fillId="0" borderId="0" xfId="7" applyFont="1" applyAlignment="1">
      <alignment horizontal="center" vertical="center"/>
    </xf>
    <xf numFmtId="20" fontId="175" fillId="0" borderId="0" xfId="7" applyNumberFormat="1" applyFont="1" applyAlignment="1">
      <alignment horizontal="center" vertical="center"/>
    </xf>
    <xf numFmtId="0" fontId="175" fillId="0" borderId="0" xfId="7" applyFont="1" applyAlignment="1">
      <alignment horizontal="center" vertical="center"/>
    </xf>
    <xf numFmtId="0" fontId="114" fillId="3" borderId="54" xfId="7" applyFont="1" applyFill="1" applyBorder="1" applyAlignment="1">
      <alignment horizontal="center" vertical="center"/>
    </xf>
    <xf numFmtId="0" fontId="114" fillId="3" borderId="10" xfId="7" applyFont="1" applyFill="1" applyBorder="1" applyAlignment="1">
      <alignment horizontal="center" vertical="center"/>
    </xf>
    <xf numFmtId="0" fontId="114" fillId="3" borderId="14" xfId="7" applyFont="1" applyFill="1" applyBorder="1" applyAlignment="1">
      <alignment horizontal="center" vertical="center"/>
    </xf>
    <xf numFmtId="0" fontId="114" fillId="3" borderId="17" xfId="7" applyFont="1" applyFill="1" applyBorder="1" applyAlignment="1">
      <alignment horizontal="center" vertical="center"/>
    </xf>
    <xf numFmtId="0" fontId="114" fillId="3" borderId="53" xfId="7" applyFont="1" applyFill="1" applyBorder="1" applyAlignment="1">
      <alignment horizontal="center" vertical="center"/>
    </xf>
    <xf numFmtId="181" fontId="135" fillId="0" borderId="39" xfId="7" applyNumberFormat="1" applyFont="1" applyBorder="1" applyAlignment="1">
      <alignment horizontal="center" vertical="center" textRotation="255"/>
    </xf>
    <xf numFmtId="181" fontId="135" fillId="0" borderId="34" xfId="7" applyNumberFormat="1" applyFont="1" applyBorder="1" applyAlignment="1">
      <alignment horizontal="center" vertical="center" textRotation="255"/>
    </xf>
    <xf numFmtId="0" fontId="114" fillId="3" borderId="15" xfId="7" applyFont="1" applyFill="1" applyBorder="1" applyAlignment="1">
      <alignment horizontal="center" vertical="center"/>
    </xf>
    <xf numFmtId="0" fontId="176" fillId="3" borderId="15" xfId="7" applyFont="1" applyFill="1" applyBorder="1" applyAlignment="1">
      <alignment horizontal="left" vertical="center" wrapText="1"/>
    </xf>
    <xf numFmtId="0" fontId="176" fillId="3" borderId="10" xfId="7" applyFont="1" applyFill="1" applyBorder="1" applyAlignment="1">
      <alignment horizontal="left" vertical="center" wrapText="1"/>
    </xf>
    <xf numFmtId="0" fontId="176" fillId="3" borderId="14" xfId="7" applyFont="1" applyFill="1" applyBorder="1" applyAlignment="1">
      <alignment horizontal="left" vertical="center" wrapText="1"/>
    </xf>
    <xf numFmtId="0" fontId="176" fillId="3" borderId="13" xfId="7" applyFont="1" applyFill="1" applyBorder="1" applyAlignment="1">
      <alignment horizontal="left" vertical="center" wrapText="1"/>
    </xf>
    <xf numFmtId="0" fontId="176" fillId="3" borderId="0" xfId="7" applyFont="1" applyFill="1" applyAlignment="1">
      <alignment horizontal="left" vertical="center" wrapText="1"/>
    </xf>
    <xf numFmtId="0" fontId="176" fillId="3" borderId="12" xfId="7" applyFont="1" applyFill="1" applyBorder="1" applyAlignment="1">
      <alignment horizontal="left" vertical="center" wrapText="1"/>
    </xf>
    <xf numFmtId="0" fontId="176" fillId="3" borderId="11" xfId="7" applyFont="1" applyFill="1" applyBorder="1" applyAlignment="1">
      <alignment horizontal="left" vertical="center" wrapText="1"/>
    </xf>
    <xf numFmtId="0" fontId="176" fillId="3" borderId="2" xfId="7" applyFont="1" applyFill="1" applyBorder="1" applyAlignment="1">
      <alignment horizontal="left" vertical="center" wrapText="1"/>
    </xf>
    <xf numFmtId="0" fontId="176" fillId="3" borderId="3" xfId="7" applyFont="1" applyFill="1" applyBorder="1" applyAlignment="1">
      <alignment horizontal="left" vertical="center" wrapText="1"/>
    </xf>
    <xf numFmtId="0" fontId="177" fillId="0" borderId="21" xfId="7" applyFont="1" applyBorder="1" applyAlignment="1" applyProtection="1">
      <alignment vertical="center" textRotation="255"/>
      <protection locked="0"/>
    </xf>
    <xf numFmtId="0" fontId="177" fillId="0" borderId="21" xfId="7" applyFont="1" applyBorder="1" applyAlignment="1" applyProtection="1">
      <alignment horizontal="center" vertical="center" wrapText="1"/>
      <protection locked="0"/>
    </xf>
    <xf numFmtId="0" fontId="177" fillId="0" borderId="21" xfId="7" applyFont="1" applyBorder="1" applyAlignment="1" applyProtection="1">
      <alignment vertical="center" textRotation="255" wrapText="1"/>
      <protection locked="0"/>
    </xf>
    <xf numFmtId="0" fontId="177" fillId="0" borderId="21" xfId="7" applyFont="1" applyBorder="1" applyAlignment="1" applyProtection="1">
      <alignment horizontal="center" vertical="center"/>
      <protection locked="0"/>
    </xf>
    <xf numFmtId="0" fontId="177" fillId="0" borderId="15" xfId="7" applyFont="1" applyBorder="1" applyAlignment="1" applyProtection="1">
      <alignment horizontal="center" vertical="center" wrapText="1"/>
      <protection locked="0"/>
    </xf>
    <xf numFmtId="0" fontId="177" fillId="0" borderId="10" xfId="7" applyFont="1" applyBorder="1" applyAlignment="1" applyProtection="1">
      <alignment horizontal="center" vertical="center" wrapText="1"/>
      <protection locked="0"/>
    </xf>
    <xf numFmtId="0" fontId="177" fillId="0" borderId="14" xfId="7" applyFont="1" applyBorder="1" applyAlignment="1" applyProtection="1">
      <alignment horizontal="center" vertical="center" wrapText="1"/>
      <protection locked="0"/>
    </xf>
    <xf numFmtId="0" fontId="177" fillId="0" borderId="13" xfId="7" applyFont="1" applyBorder="1" applyAlignment="1" applyProtection="1">
      <alignment horizontal="center" vertical="center" wrapText="1"/>
      <protection locked="0"/>
    </xf>
    <xf numFmtId="0" fontId="177" fillId="0" borderId="0" xfId="7" applyFont="1" applyAlignment="1" applyProtection="1">
      <alignment horizontal="center" vertical="center" wrapText="1"/>
      <protection locked="0"/>
    </xf>
    <xf numFmtId="0" fontId="177" fillId="0" borderId="12" xfId="7" applyFont="1" applyBorder="1" applyAlignment="1" applyProtection="1">
      <alignment horizontal="center" vertical="center" wrapText="1"/>
      <protection locked="0"/>
    </xf>
    <xf numFmtId="0" fontId="177" fillId="0" borderId="11" xfId="7" applyFont="1" applyBorder="1" applyAlignment="1" applyProtection="1">
      <alignment horizontal="center" vertical="center" wrapText="1"/>
      <protection locked="0"/>
    </xf>
    <xf numFmtId="0" fontId="177" fillId="0" borderId="2" xfId="7" applyFont="1" applyBorder="1" applyAlignment="1" applyProtection="1">
      <alignment horizontal="center" vertical="center" wrapText="1"/>
      <protection locked="0"/>
    </xf>
    <xf numFmtId="0" fontId="177" fillId="0" borderId="3" xfId="7" applyFont="1" applyBorder="1" applyAlignment="1" applyProtection="1">
      <alignment horizontal="center" vertical="center" wrapText="1"/>
      <protection locked="0"/>
    </xf>
    <xf numFmtId="0" fontId="114" fillId="11" borderId="54" xfId="0" applyFont="1" applyFill="1" applyBorder="1" applyAlignment="1">
      <alignment horizontal="center" vertical="center"/>
    </xf>
    <xf numFmtId="0" fontId="114" fillId="11" borderId="17" xfId="0" applyFont="1" applyFill="1" applyBorder="1" applyAlignment="1">
      <alignment horizontal="center" vertical="center"/>
    </xf>
    <xf numFmtId="0" fontId="114" fillId="11" borderId="53" xfId="0" applyFont="1" applyFill="1" applyBorder="1" applyAlignment="1">
      <alignment horizontal="center" vertical="center"/>
    </xf>
    <xf numFmtId="0" fontId="22" fillId="2" borderId="0" xfId="0" applyFont="1" applyFill="1" applyAlignment="1" applyProtection="1">
      <alignment horizontal="center" vertical="center"/>
    </xf>
    <xf numFmtId="0" fontId="101" fillId="0" borderId="15" xfId="0" applyFont="1" applyBorder="1" applyAlignment="1" applyProtection="1">
      <alignment horizontal="center" vertical="center" shrinkToFit="1"/>
    </xf>
    <xf numFmtId="0" fontId="101" fillId="0" borderId="14" xfId="0" applyFont="1" applyBorder="1" applyAlignment="1" applyProtection="1">
      <alignment horizontal="center" vertical="center" shrinkToFit="1"/>
    </xf>
    <xf numFmtId="0" fontId="101" fillId="0" borderId="13" xfId="0" applyFont="1" applyBorder="1" applyAlignment="1" applyProtection="1">
      <alignment horizontal="center" vertical="center" shrinkToFit="1"/>
    </xf>
    <xf numFmtId="0" fontId="101" fillId="0" borderId="12" xfId="0" applyFont="1" applyBorder="1" applyAlignment="1" applyProtection="1">
      <alignment horizontal="center" vertical="center" shrinkToFit="1"/>
    </xf>
    <xf numFmtId="0" fontId="101" fillId="0" borderId="146" xfId="0" applyFont="1" applyBorder="1" applyAlignment="1" applyProtection="1">
      <alignment horizontal="center" vertical="center" shrinkToFit="1"/>
    </xf>
    <xf numFmtId="0" fontId="101" fillId="0" borderId="147" xfId="0" applyFont="1" applyBorder="1" applyAlignment="1" applyProtection="1">
      <alignment horizontal="center" vertical="center" shrinkToFit="1"/>
    </xf>
    <xf numFmtId="0" fontId="101" fillId="0" borderId="0" xfId="0" applyFont="1" applyBorder="1" applyAlignment="1" applyProtection="1">
      <alignment horizontal="center" vertical="center" shrinkToFit="1"/>
    </xf>
    <xf numFmtId="178" fontId="76" fillId="0" borderId="0" xfId="0" applyNumberFormat="1" applyFont="1" applyFill="1" applyAlignment="1" applyProtection="1">
      <alignment horizontal="center" vertical="center"/>
      <protection hidden="1"/>
    </xf>
    <xf numFmtId="0" fontId="76" fillId="0" borderId="0" xfId="0" applyFont="1" applyFill="1" applyAlignment="1" applyProtection="1">
      <alignment horizontal="center" vertical="center"/>
      <protection hidden="1"/>
    </xf>
    <xf numFmtId="0" fontId="130" fillId="4" borderId="149" xfId="0" applyNumberFormat="1" applyFont="1" applyFill="1" applyBorder="1" applyAlignment="1" applyProtection="1">
      <alignment horizontal="left" vertical="center" shrinkToFit="1"/>
      <protection locked="0"/>
    </xf>
    <xf numFmtId="0" fontId="130" fillId="4" borderId="83" xfId="0" applyNumberFormat="1" applyFont="1" applyFill="1" applyBorder="1" applyAlignment="1" applyProtection="1">
      <alignment horizontal="left" vertical="center" shrinkToFit="1"/>
      <protection locked="0"/>
    </xf>
    <xf numFmtId="0" fontId="130" fillId="4" borderId="18" xfId="0" applyNumberFormat="1" applyFont="1" applyFill="1" applyBorder="1" applyAlignment="1" applyProtection="1">
      <alignment horizontal="left" vertical="center" shrinkToFit="1"/>
      <protection locked="0"/>
    </xf>
    <xf numFmtId="0" fontId="130" fillId="0" borderId="0" xfId="0" applyFont="1" applyBorder="1" applyAlignment="1" applyProtection="1">
      <alignment horizontal="center" vertical="center" wrapText="1" shrinkToFit="1"/>
    </xf>
    <xf numFmtId="0" fontId="130" fillId="4" borderId="0" xfId="0" applyNumberFormat="1" applyFont="1" applyFill="1" applyBorder="1" applyAlignment="1" applyProtection="1">
      <alignment horizontal="center" vertical="center" shrinkToFit="1"/>
    </xf>
    <xf numFmtId="0" fontId="7" fillId="0" borderId="0" xfId="0" applyNumberFormat="1" applyFont="1" applyBorder="1" applyAlignment="1" applyProtection="1">
      <alignment horizontal="center" vertical="center" shrinkToFit="1"/>
      <protection hidden="1"/>
    </xf>
    <xf numFmtId="0" fontId="130" fillId="4" borderId="21" xfId="0" applyNumberFormat="1" applyFont="1" applyFill="1" applyBorder="1" applyAlignment="1" applyProtection="1">
      <alignment horizontal="center" vertical="center" shrinkToFit="1"/>
      <protection locked="0"/>
    </xf>
    <xf numFmtId="0" fontId="130" fillId="4" borderId="151" xfId="0" applyNumberFormat="1" applyFont="1" applyFill="1" applyBorder="1" applyAlignment="1" applyProtection="1">
      <alignment horizontal="center" vertical="center" shrinkToFit="1"/>
      <protection locked="0"/>
    </xf>
    <xf numFmtId="0" fontId="130" fillId="0" borderId="81" xfId="0" applyNumberFormat="1" applyFont="1" applyBorder="1" applyAlignment="1" applyProtection="1">
      <alignment horizontal="center" vertical="center" shrinkToFit="1"/>
    </xf>
    <xf numFmtId="0" fontId="130" fillId="0" borderId="86" xfId="0" applyNumberFormat="1" applyFont="1" applyBorder="1" applyAlignment="1" applyProtection="1">
      <alignment horizontal="center" vertical="center" shrinkToFit="1"/>
    </xf>
    <xf numFmtId="0" fontId="130" fillId="4" borderId="54" xfId="0" applyNumberFormat="1" applyFont="1" applyFill="1" applyBorder="1" applyAlignment="1" applyProtection="1">
      <alignment horizontal="left" vertical="center" shrinkToFit="1"/>
      <protection locked="0"/>
    </xf>
    <xf numFmtId="0" fontId="130" fillId="4" borderId="17" xfId="0" applyNumberFormat="1" applyFont="1" applyFill="1" applyBorder="1" applyAlignment="1" applyProtection="1">
      <alignment horizontal="left" vertical="center" shrinkToFit="1"/>
      <protection locked="0"/>
    </xf>
    <xf numFmtId="0" fontId="130" fillId="4" borderId="86" xfId="0" applyNumberFormat="1" applyFont="1" applyFill="1" applyBorder="1" applyAlignment="1" applyProtection="1">
      <alignment horizontal="left" vertical="center" shrinkToFit="1"/>
      <protection locked="0"/>
    </xf>
    <xf numFmtId="0" fontId="135" fillId="0" borderId="54" xfId="0" applyFont="1" applyBorder="1" applyAlignment="1" applyProtection="1">
      <alignment horizontal="center" vertical="center" shrinkToFit="1"/>
    </xf>
    <xf numFmtId="0" fontId="135" fillId="0" borderId="17" xfId="0" applyFont="1" applyBorder="1" applyAlignment="1" applyProtection="1">
      <alignment horizontal="center" vertical="center" shrinkToFit="1"/>
    </xf>
    <xf numFmtId="0" fontId="135" fillId="0" borderId="53" xfId="0" applyFont="1" applyBorder="1" applyAlignment="1" applyProtection="1">
      <alignment horizontal="center" vertical="center" shrinkToFit="1"/>
    </xf>
    <xf numFmtId="0" fontId="130" fillId="0" borderId="54" xfId="0" applyFont="1" applyBorder="1" applyAlignment="1" applyProtection="1">
      <alignment horizontal="center" vertical="center" shrinkToFit="1"/>
    </xf>
    <xf numFmtId="0" fontId="130" fillId="0" borderId="53" xfId="0" applyFont="1" applyBorder="1" applyAlignment="1" applyProtection="1">
      <alignment horizontal="center" vertical="center" shrinkToFit="1"/>
    </xf>
    <xf numFmtId="0" fontId="130" fillId="0" borderId="0" xfId="0" applyNumberFormat="1" applyFont="1" applyBorder="1" applyAlignment="1" applyProtection="1">
      <alignment horizontal="center" vertical="center" shrinkToFit="1"/>
    </xf>
    <xf numFmtId="0" fontId="130" fillId="4" borderId="146" xfId="0" applyNumberFormat="1" applyFont="1" applyFill="1" applyBorder="1" applyAlignment="1" applyProtection="1">
      <alignment horizontal="center" vertical="center" shrinkToFit="1"/>
      <protection locked="0"/>
    </xf>
    <xf numFmtId="0" fontId="130" fillId="4" borderId="147" xfId="0" applyNumberFormat="1" applyFont="1" applyFill="1" applyBorder="1" applyAlignment="1" applyProtection="1">
      <alignment horizontal="center" vertical="center" shrinkToFit="1"/>
      <protection locked="0"/>
    </xf>
    <xf numFmtId="0" fontId="130" fillId="4" borderId="74" xfId="0" applyNumberFormat="1" applyFont="1" applyFill="1" applyBorder="1" applyAlignment="1" applyProtection="1">
      <alignment horizontal="center" vertical="center" shrinkToFit="1"/>
      <protection locked="0"/>
    </xf>
    <xf numFmtId="0" fontId="135" fillId="0" borderId="149" xfId="0" applyFont="1" applyBorder="1" applyAlignment="1" applyProtection="1">
      <alignment horizontal="center" vertical="center" shrinkToFit="1"/>
    </xf>
    <xf numFmtId="0" fontId="135" fillId="0" borderId="83" xfId="0" applyFont="1" applyBorder="1" applyAlignment="1" applyProtection="1">
      <alignment horizontal="center" vertical="center" shrinkToFit="1"/>
    </xf>
    <xf numFmtId="0" fontId="135" fillId="0" borderId="82" xfId="0" applyFont="1" applyBorder="1" applyAlignment="1" applyProtection="1">
      <alignment horizontal="center" vertical="center" shrinkToFit="1"/>
    </xf>
    <xf numFmtId="0" fontId="130" fillId="0" borderId="149" xfId="0" applyFont="1" applyBorder="1" applyAlignment="1" applyProtection="1">
      <alignment horizontal="center" vertical="center" shrinkToFit="1"/>
    </xf>
    <xf numFmtId="0" fontId="130" fillId="0" borderId="82" xfId="0" applyFont="1" applyBorder="1" applyAlignment="1" applyProtection="1">
      <alignment horizontal="center" vertical="center" shrinkToFit="1"/>
    </xf>
    <xf numFmtId="0" fontId="130" fillId="0" borderId="0" xfId="0" applyFont="1" applyBorder="1" applyAlignment="1" applyProtection="1">
      <alignment horizontal="center" vertical="center" shrinkToFit="1"/>
    </xf>
    <xf numFmtId="0" fontId="130" fillId="4" borderId="54" xfId="0" applyNumberFormat="1" applyFont="1" applyFill="1" applyBorder="1" applyAlignment="1" applyProtection="1">
      <alignment horizontal="center" vertical="center" wrapText="1" shrinkToFit="1"/>
      <protection locked="0"/>
    </xf>
    <xf numFmtId="0" fontId="130" fillId="4" borderId="17" xfId="0" applyNumberFormat="1" applyFont="1" applyFill="1" applyBorder="1" applyAlignment="1" applyProtection="1">
      <alignment horizontal="center" vertical="center" wrapText="1" shrinkToFit="1"/>
      <protection locked="0"/>
    </xf>
    <xf numFmtId="0" fontId="130" fillId="4" borderId="53" xfId="0" applyNumberFormat="1" applyFont="1" applyFill="1" applyBorder="1" applyAlignment="1" applyProtection="1">
      <alignment horizontal="center" vertical="center" wrapText="1" shrinkToFit="1"/>
      <protection locked="0"/>
    </xf>
    <xf numFmtId="0" fontId="130" fillId="0" borderId="21" xfId="0" applyNumberFormat="1" applyFont="1" applyFill="1" applyBorder="1" applyAlignment="1" applyProtection="1">
      <alignment horizontal="center" vertical="center" shrinkToFit="1"/>
      <protection locked="0"/>
    </xf>
    <xf numFmtId="0" fontId="130" fillId="0" borderId="151" xfId="0" applyNumberFormat="1" applyFont="1" applyFill="1" applyBorder="1" applyAlignment="1" applyProtection="1">
      <alignment horizontal="center" vertical="center" shrinkToFit="1"/>
      <protection locked="0"/>
    </xf>
    <xf numFmtId="0" fontId="130" fillId="0" borderId="77" xfId="0" applyNumberFormat="1" applyFont="1" applyBorder="1" applyAlignment="1" applyProtection="1">
      <alignment horizontal="center" vertical="center" shrinkToFit="1"/>
    </xf>
    <xf numFmtId="0" fontId="130" fillId="0" borderId="18" xfId="0" applyNumberFormat="1" applyFont="1" applyBorder="1" applyAlignment="1" applyProtection="1">
      <alignment horizontal="center" vertical="center" shrinkToFit="1"/>
    </xf>
    <xf numFmtId="0" fontId="130" fillId="4" borderId="149" xfId="0" applyNumberFormat="1" applyFont="1" applyFill="1" applyBorder="1" applyAlignment="1" applyProtection="1">
      <alignment horizontal="center" vertical="center" wrapText="1" shrinkToFit="1"/>
      <protection locked="0"/>
    </xf>
    <xf numFmtId="0" fontId="130" fillId="4" borderId="83" xfId="0" applyNumberFormat="1" applyFont="1" applyFill="1" applyBorder="1" applyAlignment="1" applyProtection="1">
      <alignment horizontal="center" vertical="center" wrapText="1" shrinkToFit="1"/>
      <protection locked="0"/>
    </xf>
    <xf numFmtId="0" fontId="130" fillId="4" borderId="82" xfId="0" applyNumberFormat="1" applyFont="1" applyFill="1" applyBorder="1" applyAlignment="1" applyProtection="1">
      <alignment horizontal="center" vertical="center" wrapText="1" shrinkToFit="1"/>
      <protection locked="0"/>
    </xf>
    <xf numFmtId="0" fontId="130" fillId="4" borderId="54" xfId="0" applyNumberFormat="1" applyFont="1" applyFill="1" applyBorder="1" applyAlignment="1" applyProtection="1">
      <alignment horizontal="center" vertical="center" shrinkToFit="1"/>
      <protection locked="0"/>
    </xf>
    <xf numFmtId="0" fontId="130" fillId="4" borderId="53" xfId="0" applyNumberFormat="1" applyFont="1" applyFill="1" applyBorder="1" applyAlignment="1" applyProtection="1">
      <alignment horizontal="center" vertical="center" shrinkToFit="1"/>
      <protection locked="0"/>
    </xf>
    <xf numFmtId="0" fontId="130" fillId="4" borderId="154" xfId="0" applyNumberFormat="1" applyFont="1" applyFill="1" applyBorder="1" applyAlignment="1" applyProtection="1">
      <alignment horizontal="center" vertical="center" shrinkToFit="1"/>
      <protection locked="0"/>
    </xf>
    <xf numFmtId="0" fontId="130" fillId="4" borderId="153" xfId="0" applyNumberFormat="1" applyFont="1" applyFill="1" applyBorder="1" applyAlignment="1" applyProtection="1">
      <alignment horizontal="center" vertical="center" shrinkToFit="1"/>
      <protection locked="0"/>
    </xf>
    <xf numFmtId="0" fontId="130" fillId="4" borderId="73" xfId="0" applyNumberFormat="1" applyFont="1" applyFill="1" applyBorder="1" applyAlignment="1" applyProtection="1">
      <alignment horizontal="center" vertical="center" shrinkToFit="1"/>
      <protection locked="0"/>
    </xf>
    <xf numFmtId="0" fontId="130" fillId="0" borderId="76" xfId="0" applyNumberFormat="1" applyFont="1" applyBorder="1" applyAlignment="1" applyProtection="1">
      <alignment horizontal="center" vertical="center" shrinkToFit="1"/>
    </xf>
    <xf numFmtId="0" fontId="130" fillId="0" borderId="16" xfId="0" applyNumberFormat="1" applyFont="1" applyBorder="1" applyAlignment="1" applyProtection="1">
      <alignment horizontal="center" vertical="center" shrinkToFit="1"/>
    </xf>
    <xf numFmtId="0" fontId="130" fillId="4" borderId="125" xfId="0" applyNumberFormat="1" applyFont="1" applyFill="1" applyBorder="1" applyAlignment="1" applyProtection="1">
      <alignment horizontal="left" vertical="center" shrinkToFit="1"/>
      <protection locked="0"/>
    </xf>
    <xf numFmtId="0" fontId="130" fillId="4" borderId="85" xfId="0" applyNumberFormat="1" applyFont="1" applyFill="1" applyBorder="1" applyAlignment="1" applyProtection="1">
      <alignment horizontal="left" vertical="center" shrinkToFit="1"/>
      <protection locked="0"/>
    </xf>
    <xf numFmtId="0" fontId="130" fillId="4" borderId="16" xfId="0" applyNumberFormat="1" applyFont="1" applyFill="1" applyBorder="1" applyAlignment="1" applyProtection="1">
      <alignment horizontal="left" vertical="center" shrinkToFit="1"/>
      <protection locked="0"/>
    </xf>
    <xf numFmtId="0" fontId="135" fillId="0" borderId="125" xfId="0" applyFont="1" applyBorder="1" applyAlignment="1" applyProtection="1">
      <alignment horizontal="center" vertical="center" shrinkToFit="1"/>
    </xf>
    <xf numFmtId="0" fontId="135" fillId="0" borderId="85" xfId="0" applyFont="1" applyBorder="1" applyAlignment="1" applyProtection="1">
      <alignment horizontal="center" vertical="center" shrinkToFit="1"/>
    </xf>
    <xf numFmtId="0" fontId="135" fillId="0" borderId="80" xfId="0" applyFont="1" applyBorder="1" applyAlignment="1" applyProtection="1">
      <alignment horizontal="center" vertical="center" shrinkToFit="1"/>
    </xf>
    <xf numFmtId="0" fontId="130" fillId="0" borderId="125" xfId="0" applyFont="1" applyBorder="1" applyAlignment="1" applyProtection="1">
      <alignment horizontal="center" vertical="center" shrinkToFit="1"/>
    </xf>
    <xf numFmtId="0" fontId="130" fillId="0" borderId="80" xfId="0" applyFont="1" applyBorder="1" applyAlignment="1" applyProtection="1">
      <alignment horizontal="center" vertical="center" shrinkToFit="1"/>
    </xf>
    <xf numFmtId="0" fontId="101" fillId="0" borderId="0" xfId="0" applyFont="1" applyBorder="1" applyAlignment="1" applyProtection="1">
      <alignment horizontal="center" vertical="center" wrapText="1" shrinkToFit="1"/>
    </xf>
    <xf numFmtId="0" fontId="130" fillId="4" borderId="17" xfId="0" applyNumberFormat="1" applyFont="1" applyFill="1" applyBorder="1" applyAlignment="1" applyProtection="1">
      <alignment horizontal="center" vertical="center" shrinkToFit="1"/>
      <protection locked="0"/>
    </xf>
    <xf numFmtId="178" fontId="136" fillId="0" borderId="0" xfId="0" applyNumberFormat="1" applyFont="1" applyBorder="1" applyAlignment="1" applyProtection="1">
      <alignment horizontal="center" vertical="center"/>
    </xf>
    <xf numFmtId="178" fontId="136" fillId="0" borderId="69" xfId="0" applyNumberFormat="1" applyFont="1" applyBorder="1" applyAlignment="1" applyProtection="1">
      <alignment horizontal="center" vertical="center"/>
    </xf>
    <xf numFmtId="0" fontId="129" fillId="0" borderId="0" xfId="0" applyFont="1" applyBorder="1" applyAlignment="1" applyProtection="1">
      <alignment horizontal="center" vertical="center"/>
    </xf>
    <xf numFmtId="0" fontId="129" fillId="0" borderId="69" xfId="0" applyFont="1" applyBorder="1" applyAlignment="1" applyProtection="1">
      <alignment horizontal="center" vertical="center"/>
    </xf>
    <xf numFmtId="0" fontId="95" fillId="0" borderId="0" xfId="0" applyFont="1" applyAlignment="1" applyProtection="1">
      <alignment horizontal="left" vertical="center"/>
    </xf>
    <xf numFmtId="0" fontId="16" fillId="0" borderId="2" xfId="0" applyFont="1" applyBorder="1" applyAlignment="1" applyProtection="1">
      <alignment vertical="center"/>
    </xf>
    <xf numFmtId="0" fontId="28" fillId="0" borderId="0" xfId="0" applyFont="1" applyBorder="1" applyAlignment="1" applyProtection="1">
      <alignment vertical="center"/>
    </xf>
    <xf numFmtId="0" fontId="28" fillId="0" borderId="0" xfId="0" applyFont="1" applyBorder="1" applyAlignment="1" applyProtection="1">
      <alignment vertical="center" wrapText="1"/>
    </xf>
    <xf numFmtId="178" fontId="136" fillId="0" borderId="72" xfId="0" applyNumberFormat="1" applyFont="1" applyBorder="1" applyAlignment="1" applyProtection="1">
      <alignment horizontal="center" vertical="center"/>
    </xf>
    <xf numFmtId="0" fontId="129" fillId="0" borderId="72" xfId="0" applyFont="1" applyBorder="1" applyAlignment="1" applyProtection="1">
      <alignment horizontal="center" vertical="center"/>
    </xf>
    <xf numFmtId="178" fontId="136" fillId="0" borderId="0" xfId="0" applyNumberFormat="1" applyFont="1" applyBorder="1" applyAlignment="1" applyProtection="1">
      <alignment horizontal="center" vertical="center" shrinkToFit="1"/>
    </xf>
    <xf numFmtId="178" fontId="136" fillId="0" borderId="69" xfId="0" applyNumberFormat="1" applyFont="1" applyBorder="1" applyAlignment="1" applyProtection="1">
      <alignment horizontal="center" vertical="center" shrinkToFit="1"/>
    </xf>
    <xf numFmtId="0" fontId="101" fillId="0" borderId="10" xfId="0" applyFont="1" applyBorder="1" applyAlignment="1" applyProtection="1">
      <alignment horizontal="center" vertical="center" shrinkToFit="1"/>
    </xf>
    <xf numFmtId="0" fontId="101" fillId="0" borderId="2" xfId="0" applyFont="1" applyBorder="1" applyAlignment="1" applyProtection="1">
      <alignment horizontal="center" vertical="center" shrinkToFit="1"/>
    </xf>
    <xf numFmtId="0" fontId="95" fillId="0" borderId="10" xfId="0" applyFont="1" applyBorder="1" applyAlignment="1" applyProtection="1">
      <alignment horizontal="center" vertical="center" shrinkToFit="1"/>
    </xf>
    <xf numFmtId="0" fontId="95" fillId="0" borderId="2" xfId="0" applyFont="1" applyBorder="1" applyAlignment="1" applyProtection="1">
      <alignment horizontal="center" vertical="center" shrinkToFit="1"/>
    </xf>
    <xf numFmtId="0" fontId="108" fillId="8" borderId="13" xfId="0" applyFont="1" applyFill="1" applyBorder="1" applyAlignment="1" applyProtection="1">
      <alignment horizontal="center" vertical="center" shrinkToFit="1"/>
    </xf>
    <xf numFmtId="0" fontId="108" fillId="8" borderId="0" xfId="0" applyFont="1" applyFill="1" applyBorder="1" applyAlignment="1" applyProtection="1">
      <alignment horizontal="center" vertical="center" shrinkToFit="1"/>
    </xf>
    <xf numFmtId="0" fontId="103" fillId="0" borderId="261" xfId="0" applyFont="1" applyBorder="1" applyAlignment="1" applyProtection="1">
      <alignment horizontal="center" vertical="center" wrapText="1" shrinkToFit="1"/>
    </xf>
    <xf numFmtId="0" fontId="103" fillId="0" borderId="72" xfId="0" applyFont="1" applyBorder="1" applyAlignment="1" applyProtection="1">
      <alignment horizontal="center" vertical="center" wrapText="1" shrinkToFit="1"/>
    </xf>
    <xf numFmtId="0" fontId="103" fillId="0" borderId="73" xfId="0" applyFont="1" applyBorder="1" applyAlignment="1" applyProtection="1">
      <alignment horizontal="center" vertical="center" wrapText="1" shrinkToFit="1"/>
    </xf>
    <xf numFmtId="0" fontId="103" fillId="0" borderId="87" xfId="0" applyFont="1" applyBorder="1" applyAlignment="1" applyProtection="1">
      <alignment horizontal="center" vertical="center" wrapText="1" shrinkToFit="1"/>
    </xf>
    <xf numFmtId="0" fontId="103" fillId="0" borderId="69" xfId="0" applyFont="1" applyBorder="1" applyAlignment="1" applyProtection="1">
      <alignment horizontal="center" vertical="center" wrapText="1" shrinkToFit="1"/>
    </xf>
    <xf numFmtId="0" fontId="103" fillId="0" borderId="74" xfId="0" applyFont="1" applyBorder="1" applyAlignment="1" applyProtection="1">
      <alignment horizontal="center" vertical="center" wrapText="1" shrinkToFit="1"/>
    </xf>
    <xf numFmtId="0" fontId="104" fillId="0" borderId="0" xfId="0" applyFont="1" applyBorder="1" applyAlignment="1" applyProtection="1">
      <alignment horizontal="center" vertical="center"/>
    </xf>
    <xf numFmtId="0" fontId="104" fillId="0" borderId="69" xfId="0" applyFont="1" applyBorder="1" applyAlignment="1" applyProtection="1">
      <alignment horizontal="center" vertical="center"/>
    </xf>
    <xf numFmtId="0" fontId="101" fillId="0" borderId="0" xfId="0" applyFont="1" applyAlignment="1" applyProtection="1">
      <alignment horizontal="left" vertical="center"/>
    </xf>
    <xf numFmtId="178" fontId="125" fillId="0" borderId="69" xfId="0" applyNumberFormat="1" applyFont="1" applyBorder="1" applyAlignment="1" applyProtection="1">
      <alignment horizontal="center" vertical="center"/>
    </xf>
    <xf numFmtId="0" fontId="101" fillId="0" borderId="69" xfId="0" applyFont="1" applyBorder="1" applyAlignment="1" applyProtection="1">
      <alignment horizontal="center" vertical="center"/>
    </xf>
    <xf numFmtId="0" fontId="15" fillId="0" borderId="0" xfId="0" applyFont="1" applyBorder="1" applyAlignment="1" applyProtection="1">
      <alignment horizontal="center" vertical="center"/>
    </xf>
    <xf numFmtId="0" fontId="102" fillId="8" borderId="10" xfId="0" applyFont="1" applyFill="1" applyBorder="1" applyAlignment="1" applyProtection="1">
      <alignment horizontal="center" vertical="center"/>
    </xf>
    <xf numFmtId="0" fontId="102" fillId="8" borderId="14" xfId="0" applyFont="1" applyFill="1" applyBorder="1" applyAlignment="1" applyProtection="1">
      <alignment horizontal="center" vertical="center"/>
    </xf>
    <xf numFmtId="0" fontId="102" fillId="8" borderId="2" xfId="0" applyFont="1" applyFill="1" applyBorder="1" applyAlignment="1" applyProtection="1">
      <alignment horizontal="center" vertical="center"/>
    </xf>
    <xf numFmtId="0" fontId="102" fillId="8" borderId="3" xfId="0" applyFont="1" applyFill="1" applyBorder="1" applyAlignment="1" applyProtection="1">
      <alignment horizontal="center" vertical="center"/>
    </xf>
    <xf numFmtId="0" fontId="106" fillId="0" borderId="0" xfId="0" applyFont="1" applyAlignment="1" applyProtection="1">
      <alignment horizontal="center" vertical="center"/>
    </xf>
    <xf numFmtId="0" fontId="105" fillId="0" borderId="0" xfId="0" applyFont="1" applyBorder="1" applyAlignment="1" applyProtection="1">
      <alignment horizontal="left" vertical="center"/>
    </xf>
    <xf numFmtId="0" fontId="101" fillId="0" borderId="34" xfId="0" applyFont="1" applyBorder="1" applyAlignment="1" applyProtection="1">
      <alignment horizontal="center" vertical="center" textRotation="255" shrinkToFit="1"/>
    </xf>
    <xf numFmtId="0" fontId="101" fillId="0" borderId="39" xfId="0" applyFont="1" applyBorder="1" applyAlignment="1" applyProtection="1">
      <alignment horizontal="center" vertical="center" textRotation="255" shrinkToFit="1"/>
    </xf>
    <xf numFmtId="0" fontId="49" fillId="0" borderId="10" xfId="0" applyFont="1" applyBorder="1" applyAlignment="1" applyProtection="1">
      <alignment horizontal="center" vertical="center" shrinkToFit="1"/>
    </xf>
    <xf numFmtId="0" fontId="49" fillId="0" borderId="2"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15"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0" fillId="0" borderId="1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101" fillId="0" borderId="76" xfId="0" applyFont="1" applyBorder="1" applyAlignment="1" applyProtection="1">
      <alignment horizontal="center" vertical="center" shrinkToFit="1"/>
    </xf>
    <xf numFmtId="0" fontId="101" fillId="0" borderId="16" xfId="0" applyFont="1" applyBorder="1" applyAlignment="1" applyProtection="1">
      <alignment horizontal="center" vertical="center" shrinkToFit="1"/>
    </xf>
    <xf numFmtId="0" fontId="101" fillId="0" borderId="77" xfId="0" applyFont="1" applyBorder="1" applyAlignment="1" applyProtection="1">
      <alignment horizontal="center" vertical="center" shrinkToFit="1"/>
    </xf>
    <xf numFmtId="0" fontId="101" fillId="0" borderId="18" xfId="0" applyFont="1" applyBorder="1" applyAlignment="1" applyProtection="1">
      <alignment horizontal="center" vertical="center" shrinkToFit="1"/>
    </xf>
    <xf numFmtId="0" fontId="99" fillId="0" borderId="0" xfId="0" applyFont="1" applyAlignment="1" applyProtection="1">
      <alignment horizontal="left" vertical="center"/>
    </xf>
    <xf numFmtId="0" fontId="99" fillId="0" borderId="0" xfId="0" applyFont="1" applyBorder="1" applyAlignment="1" applyProtection="1">
      <alignment horizontal="left" vertical="center" shrinkToFit="1"/>
    </xf>
    <xf numFmtId="0" fontId="101" fillId="0" borderId="69" xfId="0" applyFont="1" applyBorder="1" applyAlignment="1" applyProtection="1">
      <alignment horizontal="center" vertical="center" shrinkToFit="1"/>
    </xf>
    <xf numFmtId="0" fontId="130" fillId="4" borderId="125" xfId="0" applyNumberFormat="1" applyFont="1" applyFill="1" applyBorder="1" applyAlignment="1" applyProtection="1">
      <alignment horizontal="center" vertical="center" shrinkToFit="1"/>
      <protection locked="0"/>
    </xf>
    <xf numFmtId="0" fontId="130" fillId="4" borderId="85" xfId="0" applyNumberFormat="1" applyFont="1" applyFill="1" applyBorder="1" applyAlignment="1" applyProtection="1">
      <alignment horizontal="center" vertical="center" shrinkToFit="1"/>
      <protection locked="0"/>
    </xf>
    <xf numFmtId="0" fontId="130" fillId="4" borderId="80" xfId="0" applyNumberFormat="1" applyFont="1" applyFill="1" applyBorder="1" applyAlignment="1" applyProtection="1">
      <alignment horizontal="center" vertical="center" shrinkToFit="1"/>
      <protection locked="0"/>
    </xf>
    <xf numFmtId="0" fontId="130" fillId="4" borderId="39" xfId="0" applyNumberFormat="1" applyFont="1" applyFill="1" applyBorder="1" applyAlignment="1" applyProtection="1">
      <alignment horizontal="center" vertical="center" shrinkToFit="1"/>
      <protection locked="0"/>
    </xf>
    <xf numFmtId="0" fontId="101" fillId="0" borderId="261" xfId="0" applyFont="1" applyBorder="1" applyAlignment="1" applyProtection="1">
      <alignment horizontal="center" vertical="center" wrapText="1" shrinkToFit="1"/>
    </xf>
    <xf numFmtId="0" fontId="101" fillId="0" borderId="73" xfId="0" applyFont="1" applyBorder="1" applyAlignment="1" applyProtection="1">
      <alignment horizontal="center" vertical="center" wrapText="1" shrinkToFit="1"/>
    </xf>
    <xf numFmtId="0" fontId="101" fillId="0" borderId="87" xfId="0" applyFont="1" applyBorder="1" applyAlignment="1" applyProtection="1">
      <alignment horizontal="center" vertical="center" wrapText="1" shrinkToFit="1"/>
    </xf>
    <xf numFmtId="0" fontId="101" fillId="0" borderId="74" xfId="0" applyFont="1" applyBorder="1" applyAlignment="1" applyProtection="1">
      <alignment horizontal="center" vertical="center" wrapText="1" shrinkToFit="1"/>
    </xf>
    <xf numFmtId="0" fontId="101" fillId="0" borderId="13" xfId="0" applyFont="1" applyBorder="1" applyAlignment="1" applyProtection="1">
      <alignment horizontal="center" vertical="center" wrapText="1" shrinkToFit="1"/>
    </xf>
    <xf numFmtId="0" fontId="101" fillId="0" borderId="12" xfId="0" applyFont="1" applyBorder="1" applyAlignment="1" applyProtection="1">
      <alignment horizontal="center" vertical="center" wrapText="1" shrinkToFit="1"/>
    </xf>
    <xf numFmtId="0" fontId="101" fillId="0" borderId="146" xfId="0" applyFont="1" applyBorder="1" applyAlignment="1" applyProtection="1">
      <alignment horizontal="center" vertical="center" wrapText="1" shrinkToFit="1"/>
    </xf>
    <xf numFmtId="0" fontId="101" fillId="0" borderId="147" xfId="0" applyFont="1" applyBorder="1" applyAlignment="1" applyProtection="1">
      <alignment horizontal="center" vertical="center" wrapText="1" shrinkToFit="1"/>
    </xf>
    <xf numFmtId="0" fontId="101" fillId="0" borderId="69" xfId="0" applyFont="1" applyBorder="1" applyAlignment="1" applyProtection="1">
      <alignment horizontal="center" vertical="center" wrapText="1" shrinkToFit="1"/>
    </xf>
    <xf numFmtId="0" fontId="130" fillId="4" borderId="125" xfId="0" applyNumberFormat="1" applyFont="1" applyFill="1" applyBorder="1" applyAlignment="1" applyProtection="1">
      <alignment horizontal="center" vertical="center" wrapText="1" shrinkToFit="1"/>
      <protection locked="0"/>
    </xf>
    <xf numFmtId="0" fontId="130" fillId="4" borderId="85" xfId="0" applyNumberFormat="1" applyFont="1" applyFill="1" applyBorder="1" applyAlignment="1" applyProtection="1">
      <alignment horizontal="center" vertical="center" wrapText="1" shrinkToFit="1"/>
      <protection locked="0"/>
    </xf>
    <xf numFmtId="0" fontId="101" fillId="0" borderId="34" xfId="0" applyFont="1" applyBorder="1" applyAlignment="1" applyProtection="1">
      <alignment horizontal="center" vertical="center" wrapText="1" shrinkToFit="1"/>
    </xf>
    <xf numFmtId="0" fontId="101" fillId="0" borderId="148" xfId="0" applyFont="1" applyBorder="1" applyAlignment="1" applyProtection="1">
      <alignment horizontal="center" vertical="center" shrinkToFit="1"/>
    </xf>
    <xf numFmtId="0" fontId="101" fillId="0" borderId="54" xfId="0" applyFont="1" applyBorder="1" applyAlignment="1" applyProtection="1">
      <alignment horizontal="center" vertical="center" shrinkToFit="1"/>
    </xf>
    <xf numFmtId="0" fontId="101" fillId="0" borderId="17" xfId="0" applyFont="1" applyBorder="1" applyAlignment="1" applyProtection="1">
      <alignment horizontal="center" vertical="center" shrinkToFit="1"/>
    </xf>
    <xf numFmtId="0" fontId="101" fillId="0" borderId="12" xfId="0" applyFont="1" applyBorder="1" applyAlignment="1" applyProtection="1">
      <alignment horizontal="center" vertical="center" textRotation="255" shrinkToFit="1"/>
    </xf>
    <xf numFmtId="0" fontId="101" fillId="0" borderId="147" xfId="0" applyFont="1" applyBorder="1" applyAlignment="1" applyProtection="1">
      <alignment horizontal="center" vertical="center" textRotation="255" shrinkToFit="1"/>
    </xf>
    <xf numFmtId="0" fontId="109" fillId="8" borderId="76" xfId="0" applyFont="1" applyFill="1" applyBorder="1" applyAlignment="1" applyProtection="1">
      <alignment horizontal="center" vertical="center" shrinkToFit="1"/>
    </xf>
    <xf numFmtId="0" fontId="109" fillId="8" borderId="16" xfId="0" applyFont="1" applyFill="1" applyBorder="1" applyAlignment="1" applyProtection="1">
      <alignment horizontal="center" vertical="center" shrinkToFit="1"/>
    </xf>
    <xf numFmtId="0" fontId="102" fillId="8" borderId="13" xfId="0" applyFont="1" applyFill="1" applyBorder="1" applyAlignment="1" applyProtection="1">
      <alignment horizontal="center" vertical="center" shrinkToFit="1"/>
    </xf>
    <xf numFmtId="0" fontId="102" fillId="8" borderId="0" xfId="0" applyFont="1" applyFill="1" applyBorder="1" applyAlignment="1" applyProtection="1">
      <alignment horizontal="center" vertical="center" shrinkToFit="1"/>
    </xf>
    <xf numFmtId="0" fontId="98" fillId="0" borderId="15" xfId="0" applyFont="1" applyBorder="1" applyAlignment="1" applyProtection="1">
      <alignment horizontal="center" vertical="center" wrapText="1"/>
    </xf>
    <xf numFmtId="0" fontId="98" fillId="0" borderId="10" xfId="0" applyFont="1" applyBorder="1" applyAlignment="1" applyProtection="1">
      <alignment horizontal="center" vertical="center" wrapText="1"/>
    </xf>
    <xf numFmtId="0" fontId="98" fillId="0" borderId="14" xfId="0" applyFont="1" applyBorder="1" applyAlignment="1" applyProtection="1">
      <alignment horizontal="center" vertical="center" wrapText="1"/>
    </xf>
    <xf numFmtId="0" fontId="98" fillId="0" borderId="11" xfId="0" applyFont="1" applyBorder="1" applyAlignment="1" applyProtection="1">
      <alignment horizontal="center" vertical="center" wrapText="1"/>
    </xf>
    <xf numFmtId="0" fontId="98" fillId="0" borderId="2" xfId="0" applyFont="1" applyBorder="1" applyAlignment="1" applyProtection="1">
      <alignment horizontal="center" vertical="center" wrapText="1"/>
    </xf>
    <xf numFmtId="0" fontId="98" fillId="0" borderId="3" xfId="0" applyFont="1" applyBorder="1" applyAlignment="1" applyProtection="1">
      <alignment horizontal="center" vertical="center" wrapText="1"/>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01" fillId="3" borderId="77" xfId="0" applyFont="1" applyFill="1" applyBorder="1" applyAlignment="1" applyProtection="1">
      <alignment horizontal="center" vertical="center" shrinkToFit="1"/>
    </xf>
    <xf numFmtId="0" fontId="101" fillId="3" borderId="18" xfId="0" applyFont="1" applyFill="1" applyBorder="1" applyAlignment="1" applyProtection="1">
      <alignment horizontal="center" vertical="center" shrinkToFit="1"/>
    </xf>
    <xf numFmtId="0" fontId="28" fillId="0" borderId="0"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110" fillId="0" borderId="15" xfId="0" applyFont="1" applyBorder="1" applyAlignment="1" applyProtection="1">
      <alignment horizontal="center" vertical="center" wrapText="1"/>
    </xf>
    <xf numFmtId="0" fontId="110" fillId="0" borderId="10" xfId="0" applyFont="1" applyBorder="1" applyAlignment="1" applyProtection="1">
      <alignment horizontal="center" vertical="center" wrapText="1"/>
    </xf>
    <xf numFmtId="0" fontId="110" fillId="0" borderId="14" xfId="0" applyFont="1" applyBorder="1" applyAlignment="1" applyProtection="1">
      <alignment horizontal="center" vertical="center" wrapText="1"/>
    </xf>
    <xf numFmtId="0" fontId="110" fillId="0" borderId="11" xfId="0" applyFont="1" applyBorder="1" applyAlignment="1" applyProtection="1">
      <alignment horizontal="center" vertical="center" wrapText="1"/>
    </xf>
    <xf numFmtId="0" fontId="110" fillId="0" borderId="2" xfId="0" applyFont="1" applyBorder="1" applyAlignment="1" applyProtection="1">
      <alignment horizontal="center" vertical="center" wrapText="1"/>
    </xf>
    <xf numFmtId="0" fontId="110" fillId="0" borderId="3" xfId="0" applyFont="1" applyBorder="1" applyAlignment="1" applyProtection="1">
      <alignment horizontal="center" vertical="center" wrapText="1"/>
    </xf>
    <xf numFmtId="0" fontId="110" fillId="0" borderId="13" xfId="0" applyFont="1" applyBorder="1" applyAlignment="1" applyProtection="1">
      <alignment horizontal="center" vertical="center"/>
    </xf>
    <xf numFmtId="0" fontId="110" fillId="0" borderId="78" xfId="0" applyFont="1" applyBorder="1" applyAlignment="1" applyProtection="1">
      <alignment horizontal="center" vertical="center"/>
    </xf>
    <xf numFmtId="0" fontId="110" fillId="0" borderId="79" xfId="0" applyFont="1" applyBorder="1" applyAlignment="1" applyProtection="1">
      <alignment horizontal="center" vertical="center"/>
    </xf>
    <xf numFmtId="0" fontId="108" fillId="8" borderId="10" xfId="0" applyFont="1" applyFill="1" applyBorder="1" applyAlignment="1" applyProtection="1">
      <alignment horizontal="center" vertical="center"/>
    </xf>
    <xf numFmtId="0" fontId="108" fillId="8" borderId="14" xfId="0" applyFont="1" applyFill="1" applyBorder="1" applyAlignment="1" applyProtection="1">
      <alignment horizontal="center" vertical="center"/>
    </xf>
    <xf numFmtId="0" fontId="108" fillId="8" borderId="2" xfId="0" applyFont="1" applyFill="1" applyBorder="1" applyAlignment="1" applyProtection="1">
      <alignment horizontal="center" vertical="center"/>
    </xf>
    <xf numFmtId="0" fontId="108" fillId="8" borderId="3" xfId="0" applyFont="1" applyFill="1" applyBorder="1" applyAlignment="1" applyProtection="1">
      <alignment horizontal="center" vertical="center"/>
    </xf>
    <xf numFmtId="0" fontId="130" fillId="4" borderId="88" xfId="0" applyNumberFormat="1" applyFont="1" applyFill="1" applyBorder="1" applyAlignment="1" applyProtection="1">
      <alignment horizontal="center" vertical="center" shrinkToFit="1"/>
      <protection locked="0"/>
    </xf>
    <xf numFmtId="0" fontId="130" fillId="4" borderId="149" xfId="0" applyNumberFormat="1" applyFont="1" applyFill="1" applyBorder="1" applyAlignment="1" applyProtection="1">
      <alignment horizontal="center" vertical="center" shrinkToFit="1"/>
      <protection locked="0"/>
    </xf>
    <xf numFmtId="0" fontId="130" fillId="4" borderId="83" xfId="0" applyNumberFormat="1" applyFont="1" applyFill="1" applyBorder="1" applyAlignment="1" applyProtection="1">
      <alignment horizontal="center" vertical="center" shrinkToFit="1"/>
      <protection locked="0"/>
    </xf>
    <xf numFmtId="0" fontId="130" fillId="4" borderId="82" xfId="0" applyNumberFormat="1" applyFont="1" applyFill="1" applyBorder="1" applyAlignment="1" applyProtection="1">
      <alignment horizontal="center" vertical="center" shrinkToFit="1"/>
      <protection locked="0"/>
    </xf>
    <xf numFmtId="0" fontId="101" fillId="0" borderId="21" xfId="0" applyFont="1" applyBorder="1" applyAlignment="1" applyProtection="1">
      <alignment horizontal="center" vertical="center" shrinkToFit="1"/>
    </xf>
    <xf numFmtId="0" fontId="101" fillId="0" borderId="88" xfId="0" applyFont="1" applyBorder="1" applyAlignment="1" applyProtection="1">
      <alignment horizontal="center" vertical="center" shrinkToFit="1"/>
    </xf>
    <xf numFmtId="0" fontId="130" fillId="4" borderId="80" xfId="0" applyNumberFormat="1" applyFont="1" applyFill="1" applyBorder="1" applyAlignment="1" applyProtection="1">
      <alignment horizontal="center" vertical="center" wrapText="1" shrinkToFit="1"/>
      <protection locked="0"/>
    </xf>
    <xf numFmtId="0" fontId="130" fillId="0" borderId="154" xfId="0" applyNumberFormat="1" applyFont="1" applyFill="1" applyBorder="1" applyAlignment="1" applyProtection="1">
      <alignment horizontal="center" vertical="center" shrinkToFit="1"/>
      <protection locked="0"/>
    </xf>
    <xf numFmtId="0" fontId="130" fillId="0" borderId="73" xfId="0" applyNumberFormat="1" applyFont="1" applyFill="1" applyBorder="1" applyAlignment="1" applyProtection="1">
      <alignment horizontal="center" vertical="center" shrinkToFit="1"/>
      <protection locked="0"/>
    </xf>
    <xf numFmtId="0" fontId="101" fillId="0" borderId="261" xfId="0" applyFont="1" applyBorder="1" applyAlignment="1">
      <alignment horizontal="center" vertical="center"/>
    </xf>
    <xf numFmtId="0" fontId="101" fillId="0" borderId="73" xfId="0" applyFont="1" applyBorder="1" applyAlignment="1">
      <alignment horizontal="center" vertical="center"/>
    </xf>
    <xf numFmtId="0" fontId="101" fillId="0" borderId="269" xfId="0" applyFont="1" applyBorder="1" applyAlignment="1">
      <alignment horizontal="center" vertical="center"/>
    </xf>
    <xf numFmtId="0" fontId="101" fillId="0" borderId="9" xfId="0" applyFont="1" applyBorder="1" applyAlignment="1">
      <alignment horizontal="center" vertical="center"/>
    </xf>
    <xf numFmtId="0" fontId="101" fillId="0" borderId="87" xfId="0" applyFont="1" applyBorder="1" applyAlignment="1">
      <alignment horizontal="center" vertical="center"/>
    </xf>
    <xf numFmtId="0" fontId="101" fillId="0" borderId="74" xfId="0" applyFont="1" applyBorder="1" applyAlignment="1">
      <alignment horizontal="center" vertical="center"/>
    </xf>
    <xf numFmtId="0" fontId="124" fillId="0" borderId="155" xfId="0" applyFont="1" applyBorder="1" applyAlignment="1">
      <alignment horizontal="center" vertical="center"/>
    </xf>
    <xf numFmtId="0" fontId="124" fillId="0" borderId="51" xfId="0" applyFont="1" applyBorder="1" applyAlignment="1">
      <alignment horizontal="center" vertical="center"/>
    </xf>
    <xf numFmtId="0" fontId="124" fillId="0" borderId="52" xfId="0" applyFont="1" applyBorder="1" applyAlignment="1">
      <alignment horizontal="center" vertical="center"/>
    </xf>
    <xf numFmtId="0" fontId="124" fillId="0" borderId="156" xfId="0" applyFont="1" applyBorder="1" applyAlignment="1">
      <alignment horizontal="center" vertical="center"/>
    </xf>
    <xf numFmtId="0" fontId="124" fillId="0" borderId="157" xfId="0" applyFont="1" applyBorder="1" applyAlignment="1">
      <alignment horizontal="center" vertical="center"/>
    </xf>
    <xf numFmtId="0" fontId="124" fillId="0" borderId="158" xfId="0" applyFont="1" applyBorder="1" applyAlignment="1">
      <alignment horizontal="center" vertical="center"/>
    </xf>
    <xf numFmtId="0" fontId="101" fillId="0" borderId="0" xfId="0" applyFont="1" applyAlignment="1" applyProtection="1">
      <alignment horizontal="right" vertical="center"/>
    </xf>
    <xf numFmtId="0" fontId="101" fillId="0" borderId="0" xfId="0" applyFont="1" applyAlignment="1">
      <alignment horizontal="left" vertical="center"/>
    </xf>
    <xf numFmtId="0" fontId="101" fillId="0" borderId="159" xfId="0" applyFont="1" applyBorder="1" applyAlignment="1" applyProtection="1">
      <alignment horizontal="center" vertical="center"/>
    </xf>
    <xf numFmtId="0" fontId="101" fillId="0" borderId="51" xfId="0" applyFont="1" applyBorder="1" applyAlignment="1" applyProtection="1">
      <alignment horizontal="center" vertical="center"/>
    </xf>
    <xf numFmtId="0" fontId="101" fillId="0" borderId="160" xfId="0" applyFont="1" applyBorder="1" applyAlignment="1" applyProtection="1">
      <alignment horizontal="center" vertical="center"/>
    </xf>
    <xf numFmtId="0" fontId="101" fillId="0" borderId="157" xfId="0" applyFont="1" applyBorder="1" applyAlignment="1" applyProtection="1">
      <alignment horizontal="center" vertical="center"/>
    </xf>
    <xf numFmtId="0" fontId="124" fillId="0" borderId="155" xfId="0" applyFont="1" applyBorder="1" applyAlignment="1" applyProtection="1">
      <alignment horizontal="center" vertical="center"/>
      <protection locked="0"/>
    </xf>
    <xf numFmtId="0" fontId="124" fillId="0" borderId="51" xfId="0" applyFont="1" applyBorder="1" applyAlignment="1" applyProtection="1">
      <alignment horizontal="center" vertical="center"/>
      <protection locked="0"/>
    </xf>
    <xf numFmtId="0" fontId="124" fillId="0" borderId="52" xfId="0" applyFont="1" applyBorder="1" applyAlignment="1" applyProtection="1">
      <alignment horizontal="center" vertical="center"/>
      <protection locked="0"/>
    </xf>
    <xf numFmtId="0" fontId="124" fillId="0" borderId="156" xfId="0" applyFont="1" applyBorder="1" applyAlignment="1" applyProtection="1">
      <alignment horizontal="center" vertical="center"/>
      <protection locked="0"/>
    </xf>
    <xf numFmtId="0" fontId="124" fillId="0" borderId="157" xfId="0" applyFont="1" applyBorder="1" applyAlignment="1" applyProtection="1">
      <alignment horizontal="center" vertical="center"/>
      <protection locked="0"/>
    </xf>
    <xf numFmtId="0" fontId="124" fillId="0" borderId="158" xfId="0" applyFont="1" applyBorder="1" applyAlignment="1" applyProtection="1">
      <alignment horizontal="center" vertical="center"/>
      <protection locked="0"/>
    </xf>
    <xf numFmtId="0" fontId="101" fillId="0" borderId="0" xfId="0" applyFont="1" applyAlignment="1" applyProtection="1">
      <alignment horizontal="center" vertical="center"/>
      <protection locked="0"/>
    </xf>
    <xf numFmtId="0" fontId="101" fillId="0" borderId="0" xfId="0" applyFont="1" applyAlignment="1" applyProtection="1">
      <alignment horizontal="center" vertical="center"/>
    </xf>
    <xf numFmtId="0" fontId="101" fillId="0" borderId="159" xfId="0" applyFont="1" applyBorder="1" applyAlignment="1">
      <alignment horizontal="center" vertical="center"/>
    </xf>
    <xf numFmtId="0" fontId="101" fillId="0" borderId="51" xfId="0" applyFont="1" applyBorder="1" applyAlignment="1">
      <alignment horizontal="center" vertical="center"/>
    </xf>
    <xf numFmtId="0" fontId="101" fillId="0" borderId="160" xfId="0" applyFont="1" applyBorder="1" applyAlignment="1">
      <alignment horizontal="center" vertical="center"/>
    </xf>
    <xf numFmtId="0" fontId="101" fillId="0" borderId="157" xfId="0" applyFont="1" applyBorder="1" applyAlignment="1">
      <alignment horizontal="center" vertical="center"/>
    </xf>
    <xf numFmtId="0" fontId="112" fillId="0" borderId="21" xfId="0" applyFont="1" applyBorder="1" applyAlignment="1">
      <alignment horizontal="left" vertical="center" shrinkToFit="1"/>
    </xf>
    <xf numFmtId="0" fontId="112" fillId="0" borderId="151" xfId="0" applyFont="1" applyBorder="1" applyAlignment="1">
      <alignment horizontal="left" vertical="center" shrinkToFit="1"/>
    </xf>
    <xf numFmtId="0" fontId="112" fillId="0" borderId="88" xfId="0" applyFont="1" applyBorder="1" applyAlignment="1">
      <alignment horizontal="left" vertical="center" shrinkToFit="1"/>
    </xf>
    <xf numFmtId="0" fontId="112" fillId="0" borderId="150" xfId="0" applyFont="1" applyBorder="1" applyAlignment="1">
      <alignment horizontal="left" vertical="center" shrinkToFit="1"/>
    </xf>
    <xf numFmtId="0" fontId="101" fillId="0" borderId="53" xfId="0" applyFont="1" applyBorder="1" applyAlignment="1">
      <alignment horizontal="left" vertical="center" wrapText="1" shrinkToFit="1"/>
    </xf>
    <xf numFmtId="0" fontId="101" fillId="0" borderId="21" xfId="0" applyFont="1" applyBorder="1" applyAlignment="1">
      <alignment horizontal="left" vertical="center" shrinkToFit="1"/>
    </xf>
    <xf numFmtId="0" fontId="101" fillId="0" borderId="53" xfId="0" applyFont="1" applyBorder="1" applyAlignment="1">
      <alignment horizontal="left" vertical="center" shrinkToFit="1"/>
    </xf>
    <xf numFmtId="0" fontId="101" fillId="0" borderId="10" xfId="0" applyFont="1" applyBorder="1" applyAlignment="1">
      <alignment horizontal="left" vertical="center" wrapText="1" shrinkToFit="1"/>
    </xf>
    <xf numFmtId="0" fontId="101" fillId="0" borderId="10" xfId="0" applyFont="1" applyBorder="1" applyAlignment="1">
      <alignment horizontal="left" vertical="center" shrinkToFit="1"/>
    </xf>
    <xf numFmtId="0" fontId="101" fillId="0" borderId="0" xfId="0" applyFont="1" applyBorder="1" applyAlignment="1">
      <alignment horizontal="left" vertical="center" shrinkToFit="1"/>
    </xf>
    <xf numFmtId="0" fontId="101" fillId="0" borderId="69" xfId="0" applyFont="1" applyBorder="1" applyAlignment="1">
      <alignment horizontal="left" vertical="center" shrinkToFit="1"/>
    </xf>
    <xf numFmtId="0" fontId="112" fillId="0" borderId="21" xfId="0" applyFont="1" applyBorder="1" applyAlignment="1" applyProtection="1">
      <alignment horizontal="left" vertical="center" shrinkToFit="1"/>
    </xf>
    <xf numFmtId="0" fontId="112" fillId="0" borderId="151" xfId="0" applyFont="1" applyBorder="1" applyAlignment="1" applyProtection="1">
      <alignment horizontal="left" vertical="center" shrinkToFit="1"/>
    </xf>
    <xf numFmtId="0" fontId="129" fillId="0" borderId="258" xfId="0" applyFont="1" applyBorder="1" applyAlignment="1" applyProtection="1">
      <alignment horizontal="center" vertical="center"/>
      <protection locked="0"/>
    </xf>
    <xf numFmtId="0" fontId="129" fillId="0" borderId="266" xfId="0" applyFont="1" applyBorder="1" applyAlignment="1" applyProtection="1">
      <alignment horizontal="center" vertical="center"/>
      <protection locked="0"/>
    </xf>
    <xf numFmtId="0" fontId="129" fillId="0" borderId="78" xfId="0" applyFont="1" applyBorder="1" applyAlignment="1">
      <alignment horizontal="center" vertical="center"/>
    </xf>
    <xf numFmtId="0" fontId="129" fillId="0" borderId="10" xfId="0" applyFont="1" applyBorder="1" applyAlignment="1">
      <alignment horizontal="center" vertical="center"/>
    </xf>
    <xf numFmtId="0" fontId="129" fillId="0" borderId="290" xfId="0" applyFont="1" applyBorder="1" applyAlignment="1">
      <alignment horizontal="center" vertical="center"/>
    </xf>
    <xf numFmtId="0" fontId="129" fillId="0" borderId="79" xfId="0" applyFont="1" applyBorder="1" applyAlignment="1">
      <alignment horizontal="center" vertical="center"/>
    </xf>
    <xf numFmtId="0" fontId="129" fillId="0" borderId="2" xfId="0" applyFont="1" applyBorder="1" applyAlignment="1">
      <alignment horizontal="center" vertical="center"/>
    </xf>
    <xf numFmtId="0" fontId="129" fillId="0" borderId="221" xfId="0" applyFont="1" applyBorder="1" applyAlignment="1">
      <alignment horizontal="center" vertical="center"/>
    </xf>
    <xf numFmtId="0" fontId="101" fillId="0" borderId="258" xfId="0" applyFont="1" applyBorder="1" applyAlignment="1" applyProtection="1">
      <alignment horizontal="center" vertical="center"/>
      <protection locked="0"/>
    </xf>
    <xf numFmtId="0" fontId="101" fillId="0" borderId="266" xfId="0" applyFont="1" applyBorder="1" applyAlignment="1" applyProtection="1">
      <alignment horizontal="center" vertical="center"/>
      <protection locked="0"/>
    </xf>
    <xf numFmtId="0" fontId="101" fillId="0" borderId="78" xfId="0" applyFont="1" applyBorder="1" applyAlignment="1">
      <alignment horizontal="center" vertical="center"/>
    </xf>
    <xf numFmtId="0" fontId="101" fillId="0" borderId="10" xfId="0" applyFont="1" applyBorder="1" applyAlignment="1">
      <alignment horizontal="center" vertical="center"/>
    </xf>
    <xf numFmtId="0" fontId="101" fillId="0" borderId="290" xfId="0" applyFont="1" applyBorder="1" applyAlignment="1">
      <alignment horizontal="center" vertical="center"/>
    </xf>
    <xf numFmtId="0" fontId="101" fillId="0" borderId="79" xfId="0" applyFont="1" applyBorder="1" applyAlignment="1">
      <alignment horizontal="center" vertical="center"/>
    </xf>
    <xf numFmtId="0" fontId="101" fillId="0" borderId="221" xfId="0" applyFont="1" applyBorder="1" applyAlignment="1">
      <alignment horizontal="center" vertical="center"/>
    </xf>
    <xf numFmtId="0" fontId="101" fillId="0" borderId="286" xfId="0" applyFont="1" applyBorder="1" applyAlignment="1" applyProtection="1">
      <alignment horizontal="center" vertical="center"/>
      <protection locked="0"/>
    </xf>
    <xf numFmtId="0" fontId="101" fillId="0" borderId="69" xfId="0" applyFont="1" applyBorder="1" applyAlignment="1">
      <alignment horizontal="center" vertical="center"/>
    </xf>
    <xf numFmtId="0" fontId="112" fillId="0" borderId="24" xfId="0" applyFont="1" applyBorder="1" applyAlignment="1" applyProtection="1">
      <alignment horizontal="left" vertical="center" shrinkToFit="1"/>
      <protection locked="0"/>
    </xf>
    <xf numFmtId="0" fontId="112" fillId="0" borderId="151" xfId="0" applyFont="1" applyBorder="1" applyAlignment="1" applyProtection="1">
      <alignment horizontal="left" vertical="center" shrinkToFit="1"/>
      <protection locked="0"/>
    </xf>
    <xf numFmtId="0" fontId="112" fillId="0" borderId="84" xfId="0" applyFont="1" applyBorder="1" applyAlignment="1" applyProtection="1">
      <alignment horizontal="left" vertical="center" shrinkToFit="1"/>
      <protection locked="0"/>
    </xf>
    <xf numFmtId="0" fontId="112" fillId="0" borderId="150" xfId="0" applyFont="1" applyBorder="1" applyAlignment="1" applyProtection="1">
      <alignment horizontal="left" vertical="center" shrinkToFit="1"/>
      <protection locked="0"/>
    </xf>
    <xf numFmtId="0" fontId="124" fillId="0" borderId="78" xfId="0" applyFont="1" applyBorder="1" applyAlignment="1">
      <alignment horizontal="center" vertical="center" textRotation="255"/>
    </xf>
    <xf numFmtId="0" fontId="124" fillId="0" borderId="269" xfId="0" applyFont="1" applyBorder="1" applyAlignment="1">
      <alignment horizontal="center" vertical="center" textRotation="255"/>
    </xf>
    <xf numFmtId="0" fontId="124" fillId="0" borderId="87" xfId="0" applyFont="1" applyBorder="1" applyAlignment="1">
      <alignment horizontal="center" vertical="center" textRotation="255"/>
    </xf>
    <xf numFmtId="0" fontId="124" fillId="0" borderId="78" xfId="0" applyFont="1" applyBorder="1" applyAlignment="1" applyProtection="1">
      <alignment horizontal="center" vertical="center" textRotation="255" wrapText="1"/>
      <protection locked="0"/>
    </xf>
    <xf numFmtId="0" fontId="124" fillId="0" borderId="269" xfId="0" applyFont="1" applyBorder="1" applyAlignment="1" applyProtection="1">
      <alignment horizontal="center" vertical="center" textRotation="255" wrapText="1"/>
      <protection locked="0"/>
    </xf>
    <xf numFmtId="0" fontId="124" fillId="0" borderId="87" xfId="0" applyFont="1" applyBorder="1" applyAlignment="1" applyProtection="1">
      <alignment horizontal="center" vertical="center" textRotation="255" wrapText="1"/>
      <protection locked="0"/>
    </xf>
    <xf numFmtId="0" fontId="112" fillId="0" borderId="78" xfId="0" applyFont="1" applyBorder="1" applyAlignment="1" applyProtection="1">
      <alignment horizontal="left" vertical="center" shrinkToFit="1"/>
    </xf>
    <xf numFmtId="0" fontId="112" fillId="0" borderId="10" xfId="0" applyFont="1" applyBorder="1" applyAlignment="1" applyProtection="1">
      <alignment horizontal="left" vertical="center" shrinkToFit="1"/>
    </xf>
    <xf numFmtId="0" fontId="112" fillId="0" borderId="269" xfId="0" applyFont="1" applyBorder="1" applyAlignment="1" applyProtection="1">
      <alignment horizontal="left" vertical="center" shrinkToFit="1"/>
    </xf>
    <xf numFmtId="0" fontId="112" fillId="0" borderId="0" xfId="0" applyFont="1" applyBorder="1" applyAlignment="1" applyProtection="1">
      <alignment horizontal="left" vertical="center" shrinkToFit="1"/>
    </xf>
    <xf numFmtId="0" fontId="112" fillId="0" borderId="87" xfId="0" applyFont="1" applyBorder="1" applyAlignment="1" applyProtection="1">
      <alignment horizontal="left" vertical="center" shrinkToFit="1"/>
    </xf>
    <xf numFmtId="0" fontId="112" fillId="0" borderId="69" xfId="0" applyFont="1" applyBorder="1" applyAlignment="1" applyProtection="1">
      <alignment horizontal="left" vertical="center" shrinkToFit="1"/>
    </xf>
    <xf numFmtId="0" fontId="112" fillId="0" borderId="88" xfId="0" applyFont="1" applyBorder="1" applyAlignment="1" applyProtection="1">
      <alignment horizontal="left" vertical="center" shrinkToFit="1"/>
    </xf>
    <xf numFmtId="0" fontId="112" fillId="0" borderId="150" xfId="0" applyFont="1" applyBorder="1" applyAlignment="1" applyProtection="1">
      <alignment horizontal="left" vertical="center" shrinkToFit="1"/>
    </xf>
    <xf numFmtId="0" fontId="112" fillId="0" borderId="53" xfId="0" applyFont="1" applyBorder="1" applyAlignment="1">
      <alignment horizontal="left" vertical="center" shrinkToFit="1"/>
    </xf>
    <xf numFmtId="0" fontId="129" fillId="9" borderId="78" xfId="0" applyFont="1" applyFill="1" applyBorder="1" applyAlignment="1">
      <alignment horizontal="center" vertical="center"/>
    </xf>
    <xf numFmtId="0" fontId="129" fillId="9" borderId="10" xfId="0" applyFont="1" applyFill="1" applyBorder="1" applyAlignment="1">
      <alignment horizontal="center" vertical="center"/>
    </xf>
    <xf numFmtId="0" fontId="129" fillId="9" borderId="290" xfId="0" applyFont="1" applyFill="1" applyBorder="1" applyAlignment="1">
      <alignment horizontal="center" vertical="center"/>
    </xf>
    <xf numFmtId="0" fontId="129" fillId="9" borderId="79" xfId="0" applyFont="1" applyFill="1" applyBorder="1" applyAlignment="1">
      <alignment horizontal="center" vertical="center"/>
    </xf>
    <xf numFmtId="0" fontId="129" fillId="9" borderId="2" xfId="0" applyFont="1" applyFill="1" applyBorder="1" applyAlignment="1">
      <alignment horizontal="center" vertical="center"/>
    </xf>
    <xf numFmtId="0" fontId="129" fillId="9" borderId="221" xfId="0" applyFont="1" applyFill="1" applyBorder="1" applyAlignment="1">
      <alignment horizontal="center" vertical="center"/>
    </xf>
    <xf numFmtId="0" fontId="101" fillId="9" borderId="78" xfId="0" applyFont="1" applyFill="1" applyBorder="1" applyAlignment="1">
      <alignment horizontal="center" vertical="center"/>
    </xf>
    <xf numFmtId="0" fontId="101" fillId="9" borderId="10" xfId="0" applyFont="1" applyFill="1" applyBorder="1" applyAlignment="1">
      <alignment horizontal="center" vertical="center"/>
    </xf>
    <xf numFmtId="0" fontId="101" fillId="9" borderId="290" xfId="0" applyFont="1" applyFill="1" applyBorder="1" applyAlignment="1">
      <alignment horizontal="center" vertical="center"/>
    </xf>
    <xf numFmtId="0" fontId="101" fillId="9" borderId="79" xfId="0" applyFont="1" applyFill="1" applyBorder="1" applyAlignment="1">
      <alignment horizontal="center" vertical="center"/>
    </xf>
    <xf numFmtId="0" fontId="101" fillId="9" borderId="2" xfId="0" applyFont="1" applyFill="1" applyBorder="1" applyAlignment="1">
      <alignment horizontal="center" vertical="center"/>
    </xf>
    <xf numFmtId="0" fontId="101" fillId="9" borderId="221" xfId="0" applyFont="1" applyFill="1" applyBorder="1" applyAlignment="1">
      <alignment horizontal="center" vertical="center"/>
    </xf>
    <xf numFmtId="0" fontId="124" fillId="0" borderId="79" xfId="0" applyFont="1" applyBorder="1" applyAlignment="1">
      <alignment horizontal="center" vertical="center" textRotation="255"/>
    </xf>
    <xf numFmtId="0" fontId="101" fillId="0" borderId="2" xfId="0" applyFont="1" applyBorder="1" applyAlignment="1">
      <alignment horizontal="left" vertical="center" shrinkToFit="1"/>
    </xf>
    <xf numFmtId="0" fontId="124" fillId="0" borderId="79" xfId="0" applyFont="1" applyBorder="1" applyAlignment="1" applyProtection="1">
      <alignment horizontal="center" vertical="center" textRotation="255" wrapText="1"/>
      <protection locked="0"/>
    </xf>
    <xf numFmtId="0" fontId="112" fillId="0" borderId="79" xfId="0" applyFont="1" applyBorder="1" applyAlignment="1" applyProtection="1">
      <alignment horizontal="left" vertical="center" shrinkToFit="1"/>
    </xf>
    <xf numFmtId="0" fontId="112" fillId="0" borderId="2" xfId="0" applyFont="1" applyBorder="1" applyAlignment="1" applyProtection="1">
      <alignment horizontal="left" vertical="center" shrinkToFit="1"/>
    </xf>
    <xf numFmtId="0" fontId="112" fillId="0" borderId="82" xfId="0" applyFont="1" applyBorder="1" applyAlignment="1">
      <alignment horizontal="left" vertical="center" shrinkToFit="1"/>
    </xf>
    <xf numFmtId="0" fontId="112" fillId="0" borderId="10" xfId="0" applyFont="1" applyBorder="1" applyAlignment="1">
      <alignment horizontal="left" vertical="center" shrinkToFit="1"/>
    </xf>
    <xf numFmtId="0" fontId="112" fillId="0" borderId="0" xfId="0" applyFont="1" applyBorder="1" applyAlignment="1">
      <alignment horizontal="left" vertical="center" shrinkToFit="1"/>
    </xf>
    <xf numFmtId="0" fontId="112" fillId="0" borderId="69" xfId="0" applyFont="1" applyBorder="1" applyAlignment="1">
      <alignment horizontal="left" vertical="center" shrinkToFit="1"/>
    </xf>
    <xf numFmtId="0" fontId="112" fillId="0" borderId="2" xfId="0" applyFont="1" applyBorder="1" applyAlignment="1">
      <alignment horizontal="left" vertical="center" shrinkToFit="1"/>
    </xf>
    <xf numFmtId="0" fontId="112" fillId="0" borderId="104" xfId="0" applyFont="1" applyBorder="1" applyAlignment="1">
      <alignment horizontal="left" vertical="center" shrinkToFit="1"/>
    </xf>
    <xf numFmtId="0" fontId="112" fillId="0" borderId="152" xfId="0" applyFont="1" applyBorder="1" applyAlignment="1">
      <alignment horizontal="left" vertical="center" shrinkToFit="1"/>
    </xf>
    <xf numFmtId="0" fontId="112" fillId="0" borderId="3" xfId="0" applyFont="1" applyBorder="1" applyAlignment="1">
      <alignment horizontal="left" vertical="center" shrinkToFit="1"/>
    </xf>
    <xf numFmtId="0" fontId="112" fillId="0" borderId="39" xfId="0" applyFont="1" applyBorder="1" applyAlignment="1">
      <alignment horizontal="left" vertical="center" shrinkToFit="1"/>
    </xf>
    <xf numFmtId="0" fontId="112" fillId="0" borderId="103" xfId="0" applyFont="1" applyBorder="1" applyAlignment="1" applyProtection="1">
      <alignment horizontal="left" vertical="center" shrinkToFit="1"/>
      <protection locked="0"/>
    </xf>
    <xf numFmtId="0" fontId="112" fillId="0" borderId="152" xfId="0" applyFont="1" applyBorder="1" applyAlignment="1" applyProtection="1">
      <alignment horizontal="left" vertical="center" shrinkToFit="1"/>
      <protection locked="0"/>
    </xf>
    <xf numFmtId="0" fontId="124" fillId="0" borderId="261" xfId="0" applyFont="1" applyBorder="1" applyAlignment="1">
      <alignment horizontal="center" vertical="center" textRotation="255"/>
    </xf>
    <xf numFmtId="0" fontId="129" fillId="0" borderId="261" xfId="0" applyFont="1" applyBorder="1" applyAlignment="1">
      <alignment horizontal="center" vertical="center"/>
    </xf>
    <xf numFmtId="0" fontId="129" fillId="0" borderId="72" xfId="0" applyFont="1" applyBorder="1" applyAlignment="1">
      <alignment horizontal="center" vertical="center"/>
    </xf>
    <xf numFmtId="0" fontId="129" fillId="0" borderId="73" xfId="0" applyFont="1" applyBorder="1" applyAlignment="1">
      <alignment horizontal="center" vertical="center"/>
    </xf>
    <xf numFmtId="0" fontId="112" fillId="0" borderId="72" xfId="0" applyFont="1" applyBorder="1" applyAlignment="1">
      <alignment horizontal="left" vertical="center" shrinkToFit="1"/>
    </xf>
    <xf numFmtId="0" fontId="124" fillId="0" borderId="261" xfId="0" applyFont="1" applyBorder="1" applyAlignment="1" applyProtection="1">
      <alignment horizontal="center" vertical="center" textRotation="255" wrapText="1"/>
      <protection locked="0"/>
    </xf>
    <xf numFmtId="0" fontId="129" fillId="0" borderId="285" xfId="0" applyFont="1" applyBorder="1" applyAlignment="1" applyProtection="1">
      <alignment horizontal="center" vertical="center"/>
      <protection locked="0"/>
    </xf>
    <xf numFmtId="0" fontId="112" fillId="0" borderId="261" xfId="0" applyFont="1" applyBorder="1" applyAlignment="1" applyProtection="1">
      <alignment horizontal="left" vertical="center" shrinkToFit="1"/>
    </xf>
    <xf numFmtId="0" fontId="112" fillId="0" borderId="72" xfId="0" applyFont="1" applyBorder="1" applyAlignment="1" applyProtection="1">
      <alignment horizontal="left" vertical="center" shrinkToFit="1"/>
    </xf>
    <xf numFmtId="0" fontId="112" fillId="0" borderId="104" xfId="0" applyFont="1" applyBorder="1" applyAlignment="1" applyProtection="1">
      <alignment horizontal="left" vertical="center" shrinkToFit="1"/>
    </xf>
    <xf numFmtId="0" fontId="112" fillId="0" borderId="152" xfId="0" applyFont="1" applyBorder="1" applyAlignment="1" applyProtection="1">
      <alignment horizontal="left" vertical="center" shrinkToFit="1"/>
    </xf>
    <xf numFmtId="0" fontId="124" fillId="0" borderId="17" xfId="0" applyFont="1" applyBorder="1" applyAlignment="1" applyProtection="1">
      <alignment horizontal="center" vertical="center" shrinkToFit="1"/>
      <protection locked="0"/>
    </xf>
    <xf numFmtId="0" fontId="124" fillId="0" borderId="53" xfId="0" applyFont="1" applyBorder="1" applyAlignment="1" applyProtection="1">
      <alignment horizontal="center" vertical="center" shrinkToFit="1"/>
      <protection locked="0"/>
    </xf>
    <xf numFmtId="0" fontId="124" fillId="0" borderId="54" xfId="0" applyFont="1" applyBorder="1" applyAlignment="1" applyProtection="1">
      <alignment horizontal="center" vertical="center" shrinkToFit="1"/>
      <protection locked="0"/>
    </xf>
    <xf numFmtId="0" fontId="124" fillId="0" borderId="86" xfId="0" applyFont="1" applyBorder="1" applyAlignment="1" applyProtection="1">
      <alignment horizontal="center" vertical="center" shrinkToFit="1"/>
      <protection locked="0"/>
    </xf>
    <xf numFmtId="0" fontId="124" fillId="0" borderId="56" xfId="0" applyFont="1" applyBorder="1" applyAlignment="1">
      <alignment horizontal="center" vertical="center" shrinkToFit="1"/>
    </xf>
    <xf numFmtId="0" fontId="124" fillId="0" borderId="57" xfId="0" applyFont="1" applyBorder="1" applyAlignment="1">
      <alignment horizontal="center" vertical="center" shrinkToFit="1"/>
    </xf>
    <xf numFmtId="0" fontId="124" fillId="0" borderId="58" xfId="0" applyFont="1" applyBorder="1" applyAlignment="1">
      <alignment horizontal="center" vertical="center" shrinkToFit="1"/>
    </xf>
    <xf numFmtId="0" fontId="122" fillId="0" borderId="287" xfId="0" applyFont="1" applyBorder="1" applyAlignment="1" applyProtection="1">
      <alignment horizontal="left" vertical="center" wrapText="1"/>
    </xf>
    <xf numFmtId="0" fontId="122" fillId="0" borderId="288" xfId="0" applyFont="1" applyBorder="1" applyAlignment="1" applyProtection="1">
      <alignment horizontal="left" vertical="center" wrapText="1"/>
    </xf>
    <xf numFmtId="0" fontId="122" fillId="0" borderId="280" xfId="0" applyFont="1" applyBorder="1" applyAlignment="1" applyProtection="1">
      <alignment horizontal="left" vertical="center" wrapText="1"/>
    </xf>
    <xf numFmtId="0" fontId="122" fillId="0" borderId="289" xfId="0" applyFont="1" applyBorder="1" applyAlignment="1" applyProtection="1">
      <alignment horizontal="left" vertical="center" wrapText="1"/>
    </xf>
    <xf numFmtId="0" fontId="122" fillId="0" borderId="168" xfId="0" applyFont="1" applyBorder="1" applyAlignment="1" applyProtection="1">
      <alignment horizontal="left" vertical="center" wrapText="1"/>
    </xf>
    <xf numFmtId="0" fontId="122" fillId="0" borderId="281" xfId="0" applyFont="1" applyBorder="1" applyAlignment="1" applyProtection="1">
      <alignment horizontal="left" vertical="center" wrapText="1"/>
    </xf>
    <xf numFmtId="0" fontId="132" fillId="0" borderId="114" xfId="0" applyFont="1" applyBorder="1" applyAlignment="1" applyProtection="1">
      <alignment horizontal="center" vertical="center" wrapText="1"/>
    </xf>
    <xf numFmtId="0" fontId="132" fillId="0" borderId="99" xfId="0" applyFont="1" applyBorder="1" applyAlignment="1" applyProtection="1">
      <alignment horizontal="center" vertical="center" wrapText="1"/>
    </xf>
    <xf numFmtId="0" fontId="132" fillId="0" borderId="176" xfId="0" applyFont="1" applyBorder="1" applyAlignment="1" applyProtection="1">
      <alignment horizontal="center" vertical="center" wrapText="1"/>
    </xf>
    <xf numFmtId="0" fontId="132" fillId="0" borderId="68" xfId="0" applyFont="1" applyBorder="1" applyAlignment="1" applyProtection="1">
      <alignment horizontal="center" vertical="center" wrapText="1"/>
    </xf>
    <xf numFmtId="0" fontId="132" fillId="0" borderId="177" xfId="0" applyFont="1" applyBorder="1" applyAlignment="1" applyProtection="1">
      <alignment horizontal="center" vertical="center" wrapText="1"/>
    </xf>
    <xf numFmtId="0" fontId="130" fillId="0" borderId="56" xfId="0" applyFont="1" applyBorder="1" applyAlignment="1">
      <alignment horizontal="center" vertical="center" shrinkToFit="1"/>
    </xf>
    <xf numFmtId="0" fontId="124" fillId="0" borderId="11" xfId="0" applyFont="1" applyBorder="1" applyAlignment="1">
      <alignment horizontal="center" vertical="center"/>
    </xf>
    <xf numFmtId="0" fontId="101" fillId="0" borderId="261" xfId="0" applyFont="1" applyBorder="1" applyAlignment="1" applyProtection="1">
      <alignment horizontal="center" vertical="center"/>
    </xf>
    <xf numFmtId="0" fontId="101" fillId="0" borderId="73" xfId="0" applyFont="1" applyBorder="1" applyAlignment="1" applyProtection="1">
      <alignment horizontal="center" vertical="center"/>
    </xf>
    <xf numFmtId="0" fontId="101" fillId="0" borderId="269" xfId="0" applyFont="1" applyBorder="1" applyAlignment="1" applyProtection="1">
      <alignment horizontal="center" vertical="center"/>
    </xf>
    <xf numFmtId="0" fontId="101" fillId="0" borderId="9" xfId="0" applyFont="1" applyBorder="1" applyAlignment="1" applyProtection="1">
      <alignment horizontal="center" vertical="center"/>
    </xf>
    <xf numFmtId="0" fontId="101" fillId="0" borderId="87" xfId="0" applyFont="1" applyBorder="1" applyAlignment="1" applyProtection="1">
      <alignment horizontal="center" vertical="center"/>
    </xf>
    <xf numFmtId="0" fontId="101" fillId="0" borderId="74" xfId="0" applyFont="1" applyBorder="1" applyAlignment="1" applyProtection="1">
      <alignment horizontal="center" vertical="center"/>
    </xf>
    <xf numFmtId="0" fontId="133" fillId="0" borderId="0" xfId="0" applyFont="1" applyBorder="1" applyAlignment="1" applyProtection="1">
      <alignment horizontal="center" vertical="center"/>
      <protection locked="0"/>
    </xf>
    <xf numFmtId="0" fontId="133" fillId="0" borderId="12" xfId="0" applyFont="1" applyBorder="1" applyAlignment="1" applyProtection="1">
      <alignment horizontal="center" vertical="center"/>
      <protection locked="0"/>
    </xf>
    <xf numFmtId="0" fontId="133" fillId="0" borderId="13" xfId="0" applyFont="1" applyBorder="1" applyAlignment="1" applyProtection="1">
      <alignment horizontal="center" vertical="center"/>
      <protection locked="0"/>
    </xf>
    <xf numFmtId="0" fontId="133" fillId="0" borderId="13" xfId="0" applyFont="1" applyBorder="1" applyAlignment="1" applyProtection="1">
      <alignment horizontal="center" vertical="center" shrinkToFit="1"/>
      <protection locked="0"/>
    </xf>
    <xf numFmtId="0" fontId="133" fillId="0" borderId="0" xfId="0" applyFont="1" applyBorder="1" applyAlignment="1" applyProtection="1">
      <alignment horizontal="center" vertical="center" shrinkToFit="1"/>
      <protection locked="0"/>
    </xf>
    <xf numFmtId="0" fontId="133" fillId="0" borderId="12" xfId="0" applyFont="1" applyBorder="1" applyAlignment="1" applyProtection="1">
      <alignment horizontal="center" vertical="center" shrinkToFit="1"/>
      <protection locked="0"/>
    </xf>
    <xf numFmtId="0" fontId="101" fillId="0" borderId="256" xfId="0" applyFont="1" applyBorder="1" applyAlignment="1" applyProtection="1">
      <alignment horizontal="center" vertical="center" textRotation="255"/>
    </xf>
    <xf numFmtId="0" fontId="101" fillId="0" borderId="257" xfId="0" applyFont="1" applyBorder="1" applyAlignment="1" applyProtection="1">
      <alignment horizontal="center" vertical="center" textRotation="255"/>
    </xf>
    <xf numFmtId="0" fontId="101" fillId="0" borderId="106" xfId="0" applyFont="1" applyBorder="1" applyAlignment="1" applyProtection="1">
      <alignment horizontal="center" vertical="center" textRotation="255"/>
    </xf>
    <xf numFmtId="0" fontId="122" fillId="0" borderId="282" xfId="0" applyFont="1" applyBorder="1" applyAlignment="1" applyProtection="1">
      <alignment horizontal="left" vertical="center" wrapText="1"/>
    </xf>
    <xf numFmtId="0" fontId="101" fillId="0" borderId="261" xfId="0" applyFont="1" applyBorder="1" applyAlignment="1" applyProtection="1">
      <alignment horizontal="center" vertical="center" textRotation="255"/>
    </xf>
    <xf numFmtId="0" fontId="101" fillId="0" borderId="269" xfId="0" applyFont="1" applyBorder="1" applyAlignment="1" applyProtection="1">
      <alignment horizontal="center" vertical="center" textRotation="255"/>
    </xf>
    <xf numFmtId="49" fontId="127" fillId="0" borderId="10" xfId="0" applyNumberFormat="1" applyFont="1" applyBorder="1" applyAlignment="1">
      <alignment horizontal="center" vertical="center"/>
    </xf>
    <xf numFmtId="0" fontId="127" fillId="0" borderId="2" xfId="0" applyFont="1" applyBorder="1" applyAlignment="1">
      <alignment horizontal="center" vertical="center"/>
    </xf>
    <xf numFmtId="178" fontId="124" fillId="0" borderId="2" xfId="0" applyNumberFormat="1" applyFont="1" applyBorder="1" applyAlignment="1" applyProtection="1">
      <alignment horizontal="center" vertical="center"/>
      <protection locked="0"/>
    </xf>
    <xf numFmtId="0" fontId="124" fillId="0" borderId="2" xfId="0" applyFont="1" applyBorder="1" applyAlignment="1" applyProtection="1">
      <alignment horizontal="center" vertical="center"/>
      <protection locked="0"/>
    </xf>
    <xf numFmtId="178" fontId="124" fillId="0" borderId="11" xfId="0" applyNumberFormat="1" applyFont="1" applyBorder="1" applyAlignment="1" applyProtection="1">
      <alignment horizontal="center" vertical="center"/>
      <protection locked="0"/>
    </xf>
    <xf numFmtId="0" fontId="101" fillId="0" borderId="283" xfId="0" applyFont="1" applyBorder="1" applyAlignment="1" applyProtection="1">
      <alignment horizontal="center" vertical="center"/>
    </xf>
    <xf numFmtId="0" fontId="101" fillId="0" borderId="284" xfId="0" applyFont="1" applyBorder="1" applyAlignment="1" applyProtection="1">
      <alignment horizontal="center" vertical="center"/>
    </xf>
    <xf numFmtId="0" fontId="156" fillId="0" borderId="157" xfId="0" applyFont="1" applyBorder="1" applyAlignment="1" applyProtection="1">
      <alignment horizontal="center" vertical="center"/>
    </xf>
    <xf numFmtId="0" fontId="156" fillId="0" borderId="276" xfId="0" applyFont="1" applyBorder="1" applyAlignment="1" applyProtection="1">
      <alignment horizontal="center" vertical="center"/>
    </xf>
    <xf numFmtId="0" fontId="156" fillId="0" borderId="156" xfId="0" applyFont="1" applyBorder="1" applyAlignment="1" applyProtection="1">
      <alignment horizontal="center" vertical="center"/>
    </xf>
    <xf numFmtId="0" fontId="156" fillId="0" borderId="0" xfId="0" applyFont="1" applyBorder="1" applyAlignment="1" applyProtection="1">
      <alignment horizontal="center" vertical="center"/>
    </xf>
    <xf numFmtId="0" fontId="156" fillId="0" borderId="9" xfId="0" applyFont="1" applyBorder="1" applyAlignment="1" applyProtection="1">
      <alignment horizontal="center" vertical="center"/>
    </xf>
    <xf numFmtId="0" fontId="54" fillId="0" borderId="0" xfId="0" applyFont="1" applyBorder="1" applyAlignment="1" applyProtection="1">
      <alignment horizontal="center" vertical="center"/>
    </xf>
    <xf numFmtId="178" fontId="127" fillId="0" borderId="10" xfId="0" applyNumberFormat="1" applyFont="1" applyBorder="1" applyAlignment="1" applyProtection="1">
      <alignment horizontal="center" vertical="center"/>
    </xf>
    <xf numFmtId="178" fontId="127" fillId="0" borderId="2" xfId="0" applyNumberFormat="1" applyFont="1" applyBorder="1" applyAlignment="1" applyProtection="1">
      <alignment horizontal="center" vertical="center"/>
    </xf>
    <xf numFmtId="0" fontId="101" fillId="0" borderId="2" xfId="0" applyFont="1" applyBorder="1" applyAlignment="1" applyProtection="1">
      <alignment horizontal="center" vertical="center"/>
    </xf>
    <xf numFmtId="0" fontId="101" fillId="0" borderId="10" xfId="0" applyFont="1" applyBorder="1" applyAlignment="1" applyProtection="1">
      <alignment horizontal="center" vertical="center"/>
    </xf>
    <xf numFmtId="0" fontId="101" fillId="0" borderId="0" xfId="0" applyFont="1" applyBorder="1" applyAlignment="1" applyProtection="1">
      <alignment horizontal="center" vertical="center" wrapText="1"/>
    </xf>
    <xf numFmtId="0" fontId="101" fillId="0" borderId="0" xfId="0" applyFont="1" applyBorder="1" applyAlignment="1">
      <alignment horizontal="center" vertical="center" wrapText="1"/>
    </xf>
    <xf numFmtId="178" fontId="125" fillId="0" borderId="2" xfId="0" applyNumberFormat="1" applyFont="1" applyBorder="1" applyAlignment="1" applyProtection="1">
      <alignment horizontal="center" vertical="center"/>
    </xf>
    <xf numFmtId="0" fontId="125" fillId="0" borderId="2" xfId="0" applyFont="1" applyBorder="1" applyAlignment="1">
      <alignment horizontal="center" vertical="center"/>
    </xf>
    <xf numFmtId="0" fontId="117" fillId="0" borderId="10" xfId="0" applyFont="1" applyBorder="1" applyAlignment="1" applyProtection="1">
      <alignment horizontal="center" vertical="center"/>
    </xf>
    <xf numFmtId="0" fontId="101" fillId="0" borderId="0" xfId="0" applyFont="1" applyBorder="1" applyAlignment="1" applyProtection="1">
      <alignment horizontal="center" vertical="center"/>
    </xf>
    <xf numFmtId="0" fontId="101" fillId="0" borderId="21" xfId="0" applyFont="1" applyBorder="1" applyAlignment="1" applyProtection="1">
      <alignment horizontal="center" vertical="center" wrapText="1"/>
    </xf>
    <xf numFmtId="0" fontId="101" fillId="0" borderId="104" xfId="0" applyFont="1" applyBorder="1" applyAlignment="1" applyProtection="1">
      <alignment horizontal="center" vertical="center" wrapText="1"/>
    </xf>
    <xf numFmtId="0" fontId="101" fillId="0" borderId="103" xfId="0" applyFont="1" applyBorder="1" applyAlignment="1" applyProtection="1">
      <alignment horizontal="left" vertical="center" wrapText="1"/>
    </xf>
    <xf numFmtId="0" fontId="101" fillId="0" borderId="104" xfId="0" applyFont="1" applyBorder="1" applyAlignment="1" applyProtection="1">
      <alignment horizontal="left" vertical="center" wrapText="1"/>
    </xf>
    <xf numFmtId="0" fontId="101" fillId="0" borderId="152" xfId="0" applyFont="1" applyBorder="1" applyAlignment="1" applyProtection="1">
      <alignment horizontal="left" vertical="center" wrapText="1"/>
    </xf>
    <xf numFmtId="0" fontId="101" fillId="0" borderId="24" xfId="0" applyFont="1" applyBorder="1" applyAlignment="1" applyProtection="1">
      <alignment horizontal="left" vertical="center" wrapText="1"/>
    </xf>
    <xf numFmtId="0" fontId="101" fillId="0" borderId="21" xfId="0" applyFont="1" applyBorder="1" applyAlignment="1" applyProtection="1">
      <alignment horizontal="left" vertical="center" wrapText="1"/>
    </xf>
    <xf numFmtId="0" fontId="101" fillId="0" borderId="151" xfId="0" applyFont="1" applyBorder="1" applyAlignment="1" applyProtection="1">
      <alignment horizontal="left" vertical="center" wrapText="1"/>
    </xf>
    <xf numFmtId="0" fontId="101" fillId="0" borderId="84" xfId="0" applyFont="1" applyBorder="1" applyAlignment="1" applyProtection="1">
      <alignment horizontal="left" vertical="center" wrapText="1"/>
    </xf>
    <xf numFmtId="0" fontId="101" fillId="0" borderId="88" xfId="0" applyFont="1" applyBorder="1" applyAlignment="1" applyProtection="1">
      <alignment horizontal="left" vertical="center" wrapText="1"/>
    </xf>
    <xf numFmtId="0" fontId="101" fillId="0" borderId="150" xfId="0" applyFont="1" applyBorder="1" applyAlignment="1" applyProtection="1">
      <alignment horizontal="left" vertical="center" wrapText="1"/>
    </xf>
    <xf numFmtId="0" fontId="101" fillId="0" borderId="0" xfId="0" applyFont="1" applyBorder="1" applyAlignment="1" applyProtection="1">
      <alignment horizontal="left" vertical="center"/>
    </xf>
    <xf numFmtId="0" fontId="101" fillId="0" borderId="0" xfId="0" applyFont="1" applyBorder="1" applyAlignment="1">
      <alignment horizontal="left" vertical="center"/>
    </xf>
    <xf numFmtId="0" fontId="117" fillId="0" borderId="0" xfId="0" applyFont="1" applyBorder="1" applyAlignment="1">
      <alignment horizontal="center" vertical="center"/>
    </xf>
    <xf numFmtId="0" fontId="101" fillId="0" borderId="54" xfId="0" applyFont="1" applyBorder="1" applyAlignment="1" applyProtection="1">
      <alignment horizontal="center" vertical="center"/>
    </xf>
    <xf numFmtId="0" fontId="101" fillId="0" borderId="53" xfId="0" applyFont="1" applyBorder="1" applyAlignment="1" applyProtection="1">
      <alignment horizontal="center" vertical="center"/>
    </xf>
    <xf numFmtId="0" fontId="101" fillId="0" borderId="17" xfId="0" applyFont="1" applyBorder="1" applyAlignment="1" applyProtection="1">
      <alignment horizontal="center" vertical="center"/>
    </xf>
    <xf numFmtId="0" fontId="101" fillId="0" borderId="34" xfId="0" applyFont="1" applyBorder="1" applyAlignment="1" applyProtection="1">
      <alignment horizontal="center" vertical="center" textRotation="255"/>
    </xf>
    <xf numFmtId="0" fontId="101" fillId="0" borderId="38" xfId="0" applyFont="1" applyBorder="1" applyAlignment="1" applyProtection="1">
      <alignment horizontal="center" vertical="center" textRotation="255"/>
    </xf>
    <xf numFmtId="0" fontId="101" fillId="0" borderId="39" xfId="0" applyFont="1" applyBorder="1" applyAlignment="1" applyProtection="1">
      <alignment horizontal="center" vertical="center" textRotation="255"/>
    </xf>
    <xf numFmtId="0" fontId="101" fillId="0" borderId="21" xfId="0" applyFont="1" applyBorder="1" applyAlignment="1" applyProtection="1">
      <alignment horizontal="center" vertical="center"/>
    </xf>
    <xf numFmtId="0" fontId="101" fillId="0" borderId="112" xfId="0" applyFont="1" applyBorder="1" applyAlignment="1" applyProtection="1">
      <alignment horizontal="center" vertical="center"/>
    </xf>
    <xf numFmtId="0" fontId="101" fillId="0" borderId="113" xfId="0" applyFont="1" applyBorder="1" applyAlignment="1" applyProtection="1">
      <alignment horizontal="center" vertical="center"/>
    </xf>
    <xf numFmtId="0" fontId="101" fillId="0" borderId="21" xfId="0" applyFont="1" applyBorder="1" applyAlignment="1">
      <alignment horizontal="center" vertical="center" wrapText="1"/>
    </xf>
    <xf numFmtId="0" fontId="101" fillId="0" borderId="54" xfId="0" applyFont="1" applyBorder="1" applyAlignment="1">
      <alignment horizontal="center" vertical="center" wrapText="1"/>
    </xf>
    <xf numFmtId="0" fontId="101" fillId="0" borderId="104" xfId="0" applyFont="1" applyBorder="1" applyAlignment="1">
      <alignment horizontal="center" vertical="center" wrapText="1"/>
    </xf>
    <xf numFmtId="0" fontId="101" fillId="0" borderId="125" xfId="0" applyFont="1" applyBorder="1" applyAlignment="1">
      <alignment horizontal="center" vertical="center" wrapText="1"/>
    </xf>
    <xf numFmtId="0" fontId="101" fillId="0" borderId="21" xfId="0" applyFont="1" applyBorder="1" applyAlignment="1">
      <alignment horizontal="center" vertical="center"/>
    </xf>
    <xf numFmtId="0" fontId="101" fillId="0" borderId="34" xfId="0" applyFont="1" applyBorder="1" applyAlignment="1">
      <alignment horizontal="center" vertical="center" textRotation="255"/>
    </xf>
    <xf numFmtId="0" fontId="101" fillId="0" borderId="38" xfId="0" applyFont="1" applyBorder="1" applyAlignment="1">
      <alignment horizontal="center" vertical="center" textRotation="255"/>
    </xf>
    <xf numFmtId="0" fontId="101" fillId="0" borderId="39" xfId="0" applyFont="1" applyBorder="1" applyAlignment="1">
      <alignment horizontal="center" vertical="center" textRotation="255"/>
    </xf>
    <xf numFmtId="0" fontId="101" fillId="0" borderId="38" xfId="0" applyFont="1" applyBorder="1" applyAlignment="1" applyProtection="1">
      <alignment horizontal="center" vertical="center"/>
    </xf>
    <xf numFmtId="0" fontId="101" fillId="0" borderId="15" xfId="0" applyFont="1" applyBorder="1" applyAlignment="1" applyProtection="1">
      <alignment horizontal="left" vertical="center" wrapText="1"/>
    </xf>
    <xf numFmtId="0" fontId="101" fillId="0" borderId="10" xfId="0" applyFont="1" applyBorder="1" applyAlignment="1" applyProtection="1">
      <alignment horizontal="left" vertical="center" wrapText="1"/>
    </xf>
    <xf numFmtId="0" fontId="101" fillId="0" borderId="14" xfId="0" applyFont="1" applyBorder="1" applyAlignment="1" applyProtection="1">
      <alignment horizontal="left" vertical="center" wrapText="1"/>
    </xf>
    <xf numFmtId="0" fontId="101" fillId="0" borderId="0" xfId="0" applyFont="1" applyBorder="1" applyAlignment="1" applyProtection="1">
      <alignment horizontal="left" vertical="center" wrapText="1"/>
    </xf>
    <xf numFmtId="0" fontId="101" fillId="0" borderId="12" xfId="0" applyFont="1" applyBorder="1" applyAlignment="1" applyProtection="1">
      <alignment horizontal="left" vertical="center" wrapText="1"/>
    </xf>
    <xf numFmtId="0" fontId="101" fillId="0" borderId="72" xfId="0" applyFont="1" applyBorder="1" applyAlignment="1" applyProtection="1">
      <alignment horizontal="left" vertical="center" wrapText="1"/>
    </xf>
    <xf numFmtId="0" fontId="101" fillId="0" borderId="153" xfId="0" applyFont="1" applyBorder="1" applyAlignment="1" applyProtection="1">
      <alignment horizontal="left" vertical="center" wrapText="1"/>
    </xf>
    <xf numFmtId="0" fontId="101" fillId="0" borderId="2" xfId="0" applyFont="1" applyBorder="1" applyAlignment="1" applyProtection="1">
      <alignment horizontal="left" vertical="center" wrapText="1"/>
    </xf>
    <xf numFmtId="0" fontId="101" fillId="0" borderId="3" xfId="0" applyFont="1" applyBorder="1" applyAlignment="1" applyProtection="1">
      <alignment horizontal="left" vertical="center" wrapText="1"/>
    </xf>
    <xf numFmtId="0" fontId="101" fillId="0" borderId="54" xfId="0" applyFont="1" applyBorder="1" applyAlignment="1">
      <alignment horizontal="center" vertical="center"/>
    </xf>
    <xf numFmtId="0" fontId="101" fillId="0" borderId="15" xfId="0" applyFont="1" applyBorder="1" applyAlignment="1" applyProtection="1">
      <alignment horizontal="center" vertical="center" wrapText="1"/>
    </xf>
    <xf numFmtId="0" fontId="101" fillId="0" borderId="13" xfId="0" applyFont="1" applyBorder="1" applyAlignment="1" applyProtection="1">
      <alignment horizontal="center" vertical="center"/>
    </xf>
    <xf numFmtId="0" fontId="101" fillId="0" borderId="34" xfId="0" applyFont="1" applyBorder="1" applyAlignment="1">
      <alignment horizontal="center" vertical="center"/>
    </xf>
    <xf numFmtId="0" fontId="101" fillId="0" borderId="15" xfId="0" applyFont="1" applyBorder="1" applyAlignment="1">
      <alignment horizontal="center" vertical="center" wrapText="1"/>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26" xfId="0" applyFont="1" applyBorder="1" applyAlignment="1" applyProtection="1">
      <alignment horizontal="center" vertical="center"/>
    </xf>
    <xf numFmtId="178" fontId="124" fillId="0" borderId="2" xfId="0" applyNumberFormat="1" applyFont="1" applyBorder="1" applyAlignment="1" applyProtection="1">
      <alignment horizontal="center" vertical="center"/>
    </xf>
    <xf numFmtId="0" fontId="124" fillId="0" borderId="2" xfId="0" applyFont="1" applyBorder="1" applyAlignment="1" applyProtection="1">
      <alignment horizontal="center" vertical="center"/>
    </xf>
    <xf numFmtId="178" fontId="124" fillId="0" borderId="11" xfId="0" applyNumberFormat="1" applyFont="1" applyBorder="1" applyAlignment="1" applyProtection="1">
      <alignment horizontal="center" vertical="center"/>
    </xf>
    <xf numFmtId="0" fontId="0" fillId="0" borderId="262"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177" fontId="101" fillId="0" borderId="15" xfId="0" applyNumberFormat="1" applyFont="1" applyBorder="1" applyAlignment="1">
      <alignment horizontal="center" vertical="center"/>
    </xf>
    <xf numFmtId="177" fontId="101" fillId="0" borderId="10" xfId="0" applyNumberFormat="1" applyFont="1" applyBorder="1" applyAlignment="1">
      <alignment horizontal="center" vertical="center"/>
    </xf>
    <xf numFmtId="177" fontId="101" fillId="0" borderId="171" xfId="0" applyNumberFormat="1" applyFont="1" applyBorder="1" applyAlignment="1">
      <alignment horizontal="center" vertical="center"/>
    </xf>
    <xf numFmtId="177" fontId="101" fillId="0" borderId="11" xfId="0" applyNumberFormat="1" applyFont="1" applyBorder="1" applyAlignment="1">
      <alignment horizontal="center" vertical="center"/>
    </xf>
    <xf numFmtId="177" fontId="101" fillId="0" borderId="2" xfId="0" applyNumberFormat="1" applyFont="1" applyBorder="1" applyAlignment="1">
      <alignment horizontal="center" vertical="center"/>
    </xf>
    <xf numFmtId="177" fontId="101" fillId="0" borderId="170" xfId="0" applyNumberFormat="1" applyFont="1" applyBorder="1" applyAlignment="1">
      <alignment horizontal="center" vertical="center"/>
    </xf>
    <xf numFmtId="177" fontId="101" fillId="0" borderId="13" xfId="0" applyNumberFormat="1" applyFont="1" applyBorder="1" applyAlignment="1">
      <alignment horizontal="center" vertical="center" textRotation="255"/>
    </xf>
    <xf numFmtId="177" fontId="101" fillId="0" borderId="0" xfId="0" applyNumberFormat="1" applyFont="1" applyBorder="1" applyAlignment="1">
      <alignment horizontal="center" vertical="center" textRotation="255"/>
    </xf>
    <xf numFmtId="177" fontId="101" fillId="0" borderId="169" xfId="0" applyNumberFormat="1" applyFont="1" applyBorder="1" applyAlignment="1">
      <alignment horizontal="center" vertical="center" textRotation="255"/>
    </xf>
    <xf numFmtId="177" fontId="101" fillId="0" borderId="11" xfId="0" applyNumberFormat="1" applyFont="1" applyBorder="1" applyAlignment="1">
      <alignment horizontal="center" vertical="center" textRotation="255"/>
    </xf>
    <xf numFmtId="177" fontId="101" fillId="0" borderId="2" xfId="0" applyNumberFormat="1" applyFont="1" applyBorder="1" applyAlignment="1">
      <alignment horizontal="center" vertical="center" textRotation="255"/>
    </xf>
    <xf numFmtId="177" fontId="101" fillId="0" borderId="170" xfId="0" applyNumberFormat="1" applyFont="1" applyBorder="1" applyAlignment="1">
      <alignment horizontal="center" vertical="center" textRotation="255"/>
    </xf>
    <xf numFmtId="0" fontId="135" fillId="0" borderId="54" xfId="0" applyFont="1" applyBorder="1" applyAlignment="1" applyProtection="1">
      <alignment horizontal="center" vertical="center"/>
      <protection locked="0"/>
    </xf>
    <xf numFmtId="0" fontId="135" fillId="0" borderId="17" xfId="0" applyFont="1" applyBorder="1" applyAlignment="1" applyProtection="1">
      <alignment horizontal="center" vertical="center"/>
      <protection locked="0"/>
    </xf>
    <xf numFmtId="0" fontId="135" fillId="0" borderId="172" xfId="0" applyFont="1" applyBorder="1" applyAlignment="1" applyProtection="1">
      <alignment horizontal="center" vertical="center"/>
      <protection locked="0"/>
    </xf>
    <xf numFmtId="177" fontId="101" fillId="0" borderId="14" xfId="0" applyNumberFormat="1" applyFont="1" applyBorder="1" applyAlignment="1">
      <alignment horizontal="center" vertical="center"/>
    </xf>
    <xf numFmtId="177" fontId="101" fillId="0" borderId="3" xfId="0" applyNumberFormat="1" applyFont="1" applyBorder="1" applyAlignment="1">
      <alignment horizontal="center" vertical="center"/>
    </xf>
    <xf numFmtId="177" fontId="101" fillId="0" borderId="12" xfId="0" applyNumberFormat="1" applyFont="1" applyBorder="1" applyAlignment="1">
      <alignment horizontal="center" vertical="center" textRotation="255"/>
    </xf>
    <xf numFmtId="177" fontId="101" fillId="0" borderId="3" xfId="0" applyNumberFormat="1" applyFont="1" applyBorder="1" applyAlignment="1">
      <alignment horizontal="center" vertical="center" textRotation="255"/>
    </xf>
    <xf numFmtId="0" fontId="121" fillId="0" borderId="2" xfId="0" applyFont="1" applyBorder="1" applyAlignment="1">
      <alignment horizontal="center" vertical="center"/>
    </xf>
    <xf numFmtId="178" fontId="131" fillId="0" borderId="2" xfId="0" applyNumberFormat="1" applyFont="1" applyBorder="1" applyAlignment="1">
      <alignment horizontal="center" vertical="center"/>
    </xf>
    <xf numFmtId="177" fontId="101" fillId="0" borderId="39" xfId="0" applyNumberFormat="1" applyFont="1" applyBorder="1" applyAlignment="1">
      <alignment horizontal="center" vertical="center" textRotation="255"/>
    </xf>
    <xf numFmtId="177" fontId="101" fillId="0" borderId="21" xfId="0" applyNumberFormat="1" applyFont="1" applyBorder="1" applyAlignment="1">
      <alignment horizontal="center" vertical="center" textRotation="255"/>
    </xf>
    <xf numFmtId="0" fontId="111" fillId="0" borderId="69" xfId="0" applyFont="1" applyBorder="1" applyAlignment="1">
      <alignment horizontal="center" vertical="center"/>
    </xf>
    <xf numFmtId="49" fontId="135" fillId="0" borderId="54" xfId="0" applyNumberFormat="1" applyFont="1" applyBorder="1" applyAlignment="1" applyProtection="1">
      <alignment horizontal="center" vertical="center"/>
      <protection locked="0"/>
    </xf>
    <xf numFmtId="49" fontId="135" fillId="0" borderId="17" xfId="0" applyNumberFormat="1" applyFont="1" applyBorder="1" applyAlignment="1" applyProtection="1">
      <alignment horizontal="center" vertical="center"/>
      <protection locked="0"/>
    </xf>
    <xf numFmtId="49" fontId="135" fillId="0" borderId="53" xfId="0" applyNumberFormat="1" applyFont="1" applyBorder="1" applyAlignment="1" applyProtection="1">
      <alignment horizontal="center" vertical="center"/>
      <protection locked="0"/>
    </xf>
    <xf numFmtId="49" fontId="135" fillId="0" borderId="21" xfId="0" applyNumberFormat="1" applyFont="1" applyBorder="1" applyAlignment="1" applyProtection="1">
      <alignment horizontal="center" vertical="center"/>
      <protection locked="0"/>
    </xf>
    <xf numFmtId="177" fontId="101" fillId="0" borderId="15" xfId="0" applyNumberFormat="1" applyFont="1" applyBorder="1" applyAlignment="1">
      <alignment horizontal="center" vertical="center" wrapText="1"/>
    </xf>
    <xf numFmtId="177" fontId="101" fillId="0" borderId="23" xfId="0" applyNumberFormat="1" applyFont="1" applyBorder="1" applyAlignment="1">
      <alignment horizontal="center" vertical="center" textRotation="255"/>
    </xf>
    <xf numFmtId="177" fontId="101" fillId="0" borderId="13" xfId="0" applyNumberFormat="1" applyFont="1" applyBorder="1" applyAlignment="1">
      <alignment horizontal="center" vertical="center"/>
    </xf>
    <xf numFmtId="177" fontId="101" fillId="0" borderId="0" xfId="0" applyNumberFormat="1" applyFont="1" applyBorder="1" applyAlignment="1">
      <alignment horizontal="center" vertical="center"/>
    </xf>
    <xf numFmtId="177" fontId="101" fillId="0" borderId="12" xfId="0" applyNumberFormat="1" applyFont="1" applyBorder="1" applyAlignment="1">
      <alignment horizontal="center" vertical="center"/>
    </xf>
    <xf numFmtId="0" fontId="46" fillId="0" borderId="21" xfId="0" applyFont="1" applyBorder="1" applyAlignment="1">
      <alignment horizontal="center" vertical="center"/>
    </xf>
    <xf numFmtId="49" fontId="135" fillId="0" borderId="15" xfId="0" applyNumberFormat="1" applyFont="1" applyBorder="1" applyAlignment="1" applyProtection="1">
      <alignment horizontal="center" vertical="center" wrapText="1"/>
      <protection locked="0"/>
    </xf>
    <xf numFmtId="49" fontId="135" fillId="0" borderId="10" xfId="0" applyNumberFormat="1" applyFont="1" applyBorder="1" applyAlignment="1" applyProtection="1">
      <alignment horizontal="center" vertical="center"/>
      <protection locked="0"/>
    </xf>
    <xf numFmtId="49" fontId="135" fillId="0" borderId="14" xfId="0" applyNumberFormat="1" applyFont="1" applyBorder="1" applyAlignment="1" applyProtection="1">
      <alignment horizontal="center" vertical="center"/>
      <protection locked="0"/>
    </xf>
    <xf numFmtId="49" fontId="135" fillId="0" borderId="54" xfId="0" applyNumberFormat="1" applyFont="1" applyBorder="1" applyAlignment="1" applyProtection="1">
      <alignment horizontal="center" vertical="center" wrapText="1"/>
      <protection locked="0"/>
    </xf>
    <xf numFmtId="49" fontId="135" fillId="0" borderId="15" xfId="0" applyNumberFormat="1" applyFont="1" applyBorder="1" applyAlignment="1" applyProtection="1">
      <alignment horizontal="center" vertical="center"/>
      <protection locked="0"/>
    </xf>
    <xf numFmtId="0" fontId="121" fillId="0" borderId="10" xfId="0" applyFont="1" applyBorder="1" applyAlignment="1">
      <alignment horizontal="center" vertical="center"/>
    </xf>
    <xf numFmtId="0" fontId="117" fillId="0" borderId="10" xfId="0" applyFont="1" applyBorder="1" applyAlignment="1">
      <alignment horizontal="center" vertical="center"/>
    </xf>
    <xf numFmtId="177" fontId="101" fillId="0" borderId="22" xfId="0" applyNumberFormat="1" applyFont="1" applyBorder="1" applyAlignment="1">
      <alignment horizontal="center" vertical="center" textRotation="255"/>
    </xf>
    <xf numFmtId="178" fontId="131" fillId="0" borderId="10" xfId="0" applyNumberFormat="1" applyFont="1" applyBorder="1" applyAlignment="1">
      <alignment horizontal="center" vertical="center"/>
    </xf>
    <xf numFmtId="178" fontId="131" fillId="0" borderId="0" xfId="0" applyNumberFormat="1" applyFont="1" applyBorder="1" applyAlignment="1">
      <alignment horizontal="center" vertical="center"/>
    </xf>
    <xf numFmtId="178" fontId="131" fillId="0" borderId="10" xfId="0" applyNumberFormat="1" applyFont="1" applyBorder="1" applyAlignment="1">
      <alignment horizontal="center" vertical="center" shrinkToFit="1"/>
    </xf>
    <xf numFmtId="178" fontId="131" fillId="0" borderId="2" xfId="0" applyNumberFormat="1" applyFont="1" applyBorder="1" applyAlignment="1">
      <alignment horizontal="center" vertical="center" shrinkToFit="1"/>
    </xf>
    <xf numFmtId="178" fontId="131" fillId="0" borderId="0" xfId="0" applyNumberFormat="1" applyFont="1" applyBorder="1" applyAlignment="1">
      <alignment horizontal="center" vertical="center" shrinkToFit="1"/>
    </xf>
    <xf numFmtId="0" fontId="101" fillId="0" borderId="173" xfId="0" applyFont="1" applyBorder="1" applyAlignment="1">
      <alignment horizontal="center" vertical="center"/>
    </xf>
    <xf numFmtId="0" fontId="101" fillId="0" borderId="174" xfId="0" applyFont="1" applyBorder="1" applyAlignment="1">
      <alignment horizontal="center" vertical="center"/>
    </xf>
    <xf numFmtId="0" fontId="101" fillId="0" borderId="175" xfId="0" applyFont="1" applyBorder="1" applyAlignment="1">
      <alignment horizontal="center" vertical="center"/>
    </xf>
    <xf numFmtId="49" fontId="124" fillId="3" borderId="113" xfId="0" applyNumberFormat="1" applyFont="1" applyFill="1" applyBorder="1" applyAlignment="1">
      <alignment horizontal="center" vertical="center"/>
    </xf>
    <xf numFmtId="49" fontId="124" fillId="3" borderId="176" xfId="0" applyNumberFormat="1" applyFont="1" applyFill="1" applyBorder="1" applyAlignment="1">
      <alignment horizontal="center" vertical="center"/>
    </xf>
    <xf numFmtId="0" fontId="122" fillId="0" borderId="114" xfId="0" applyFont="1" applyBorder="1" applyAlignment="1">
      <alignment vertical="center" wrapText="1"/>
    </xf>
    <xf numFmtId="0" fontId="122" fillId="0" borderId="99" xfId="0" applyFont="1" applyBorder="1" applyAlignment="1">
      <alignment vertical="center" wrapText="1"/>
    </xf>
    <xf numFmtId="0" fontId="122" fillId="0" borderId="176" xfId="0" applyFont="1" applyBorder="1" applyAlignment="1">
      <alignment vertical="center" wrapText="1"/>
    </xf>
    <xf numFmtId="0" fontId="124" fillId="10" borderId="0" xfId="0" applyFont="1" applyFill="1" applyAlignment="1">
      <alignment horizontal="center" vertical="center"/>
    </xf>
    <xf numFmtId="0" fontId="101" fillId="10" borderId="0" xfId="0" applyFont="1" applyFill="1" applyAlignment="1">
      <alignment horizontal="left" vertical="top" wrapText="1"/>
    </xf>
    <xf numFmtId="0" fontId="124" fillId="3" borderId="68" xfId="0" applyFont="1" applyFill="1" applyBorder="1" applyAlignment="1">
      <alignment horizontal="center" vertical="center"/>
    </xf>
    <xf numFmtId="0" fontId="124" fillId="3" borderId="177" xfId="0" applyFont="1" applyFill="1" applyBorder="1" applyAlignment="1">
      <alignment horizontal="center" vertical="center"/>
    </xf>
    <xf numFmtId="0" fontId="138" fillId="0" borderId="0" xfId="0" applyFont="1" applyBorder="1" applyAlignment="1">
      <alignment horizontal="left" vertical="center"/>
    </xf>
    <xf numFmtId="0" fontId="121" fillId="0" borderId="0" xfId="0" applyFont="1" applyBorder="1" applyAlignment="1">
      <alignment horizontal="left" vertical="center"/>
    </xf>
    <xf numFmtId="49" fontId="124" fillId="21" borderId="68" xfId="0" applyNumberFormat="1" applyFont="1" applyFill="1" applyBorder="1" applyAlignment="1">
      <alignment horizontal="center" vertical="center"/>
    </xf>
    <xf numFmtId="49" fontId="124" fillId="21" borderId="177" xfId="0" applyNumberFormat="1" applyFont="1" applyFill="1" applyBorder="1" applyAlignment="1">
      <alignment horizontal="center" vertical="center"/>
    </xf>
    <xf numFmtId="0" fontId="112" fillId="0" borderId="125" xfId="0" applyFont="1" applyBorder="1" applyAlignment="1">
      <alignment horizontal="center" vertical="center" wrapText="1"/>
    </xf>
    <xf numFmtId="0" fontId="112" fillId="0" borderId="80" xfId="0" applyFont="1" applyBorder="1" applyAlignment="1">
      <alignment horizontal="center" vertical="center" wrapText="1"/>
    </xf>
    <xf numFmtId="0" fontId="101" fillId="0" borderId="54" xfId="0" applyFont="1" applyBorder="1" applyAlignment="1">
      <alignment horizontal="center" vertical="center" textRotation="255"/>
    </xf>
    <xf numFmtId="49" fontId="124" fillId="3" borderId="114" xfId="0" applyNumberFormat="1" applyFont="1" applyFill="1" applyBorder="1" applyAlignment="1">
      <alignment horizontal="center" vertical="center"/>
    </xf>
    <xf numFmtId="49" fontId="124" fillId="3" borderId="99" xfId="0" applyNumberFormat="1" applyFont="1" applyFill="1" applyBorder="1" applyAlignment="1">
      <alignment horizontal="center" vertical="center"/>
    </xf>
    <xf numFmtId="49" fontId="124" fillId="3" borderId="112" xfId="0" applyNumberFormat="1" applyFont="1" applyFill="1" applyBorder="1" applyAlignment="1">
      <alignment horizontal="center" vertical="center"/>
    </xf>
    <xf numFmtId="49" fontId="124" fillId="3" borderId="113" xfId="0" applyNumberFormat="1" applyFont="1" applyFill="1" applyBorder="1" applyAlignment="1">
      <alignment horizontal="center" vertical="center" wrapText="1"/>
    </xf>
    <xf numFmtId="0" fontId="122" fillId="0" borderId="68" xfId="0" applyFont="1" applyBorder="1" applyAlignment="1">
      <alignment vertical="center" wrapText="1"/>
    </xf>
    <xf numFmtId="0" fontId="101" fillId="0" borderId="0" xfId="0" applyFont="1" applyBorder="1" applyAlignment="1">
      <alignment horizontal="center" vertical="center" shrinkToFit="1"/>
    </xf>
    <xf numFmtId="0" fontId="101" fillId="0" borderId="2" xfId="0" applyFont="1" applyBorder="1" applyAlignment="1">
      <alignment horizontal="center" vertical="center" shrinkToFit="1"/>
    </xf>
    <xf numFmtId="0" fontId="101" fillId="5" borderId="68" xfId="0" applyFont="1" applyFill="1" applyBorder="1" applyAlignment="1">
      <alignment horizontal="center" vertical="center"/>
    </xf>
    <xf numFmtId="0" fontId="101" fillId="5" borderId="177" xfId="0" applyFont="1" applyFill="1" applyBorder="1" applyAlignment="1">
      <alignment horizontal="center" vertical="center"/>
    </xf>
    <xf numFmtId="0" fontId="138" fillId="0" borderId="0" xfId="0" applyFont="1" applyAlignment="1">
      <alignment horizontal="left" vertical="center" wrapText="1"/>
    </xf>
    <xf numFmtId="0" fontId="121" fillId="0" borderId="0" xfId="0" applyFont="1" applyAlignment="1">
      <alignment horizontal="left" vertical="center"/>
    </xf>
    <xf numFmtId="0" fontId="101" fillId="0" borderId="14" xfId="0" applyFont="1" applyBorder="1" applyAlignment="1">
      <alignment horizontal="center" vertical="center"/>
    </xf>
    <xf numFmtId="0" fontId="101" fillId="0" borderId="12" xfId="0" applyFont="1" applyBorder="1" applyAlignment="1">
      <alignment horizontal="center" vertical="center"/>
    </xf>
    <xf numFmtId="0" fontId="101" fillId="0" borderId="53"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112" fillId="0" borderId="125" xfId="0" applyFont="1" applyBorder="1" applyAlignment="1">
      <alignment horizontal="center" vertical="center"/>
    </xf>
    <xf numFmtId="0" fontId="112" fillId="0" borderId="80" xfId="0" applyFont="1" applyBorder="1" applyAlignment="1">
      <alignment horizontal="center" vertical="center"/>
    </xf>
    <xf numFmtId="0" fontId="117" fillId="0" borderId="0" xfId="0" applyFont="1" applyAlignment="1">
      <alignment horizontal="center"/>
    </xf>
    <xf numFmtId="0" fontId="124" fillId="20" borderId="68" xfId="0" applyFont="1" applyFill="1" applyBorder="1" applyAlignment="1">
      <alignment horizontal="center" vertical="center" wrapText="1"/>
    </xf>
    <xf numFmtId="0" fontId="124" fillId="20" borderId="177" xfId="0" applyFont="1" applyFill="1" applyBorder="1" applyAlignment="1">
      <alignment horizontal="center" vertical="center" wrapText="1"/>
    </xf>
    <xf numFmtId="0" fontId="101" fillId="0" borderId="15" xfId="0" applyFont="1" applyBorder="1" applyAlignment="1">
      <alignment horizontal="center" vertical="center" textRotation="255"/>
    </xf>
    <xf numFmtId="0" fontId="101" fillId="0" borderId="11" xfId="0" applyFont="1" applyBorder="1" applyAlignment="1">
      <alignment horizontal="center" vertical="center" textRotation="255"/>
    </xf>
    <xf numFmtId="49" fontId="124" fillId="20" borderId="68" xfId="0" applyNumberFormat="1" applyFont="1" applyFill="1" applyBorder="1" applyAlignment="1">
      <alignment horizontal="center" vertical="center"/>
    </xf>
    <xf numFmtId="49" fontId="124" fillId="20" borderId="177" xfId="0" applyNumberFormat="1" applyFont="1" applyFill="1" applyBorder="1" applyAlignment="1">
      <alignment horizontal="center" vertical="center"/>
    </xf>
    <xf numFmtId="49" fontId="112" fillId="0" borderId="125" xfId="0" applyNumberFormat="1" applyFont="1" applyBorder="1" applyAlignment="1">
      <alignment horizontal="center" vertical="center"/>
    </xf>
    <xf numFmtId="49" fontId="112" fillId="0" borderId="80" xfId="0" applyNumberFormat="1" applyFont="1" applyBorder="1" applyAlignment="1">
      <alignment horizontal="center" vertical="center"/>
    </xf>
    <xf numFmtId="49" fontId="112" fillId="0" borderId="125" xfId="0" applyNumberFormat="1" applyFont="1" applyBorder="1" applyAlignment="1">
      <alignment horizontal="center" vertical="center" wrapText="1"/>
    </xf>
    <xf numFmtId="49" fontId="112" fillId="0" borderId="80" xfId="0" applyNumberFormat="1" applyFont="1" applyBorder="1" applyAlignment="1">
      <alignment horizontal="center" vertical="center" wrapText="1"/>
    </xf>
    <xf numFmtId="49" fontId="124" fillId="3" borderId="177" xfId="0" applyNumberFormat="1" applyFont="1" applyFill="1" applyBorder="1" applyAlignment="1">
      <alignment horizontal="center" vertical="center"/>
    </xf>
    <xf numFmtId="0" fontId="122" fillId="0" borderId="177" xfId="0" applyFont="1" applyBorder="1" applyAlignment="1">
      <alignment vertical="center" wrapText="1"/>
    </xf>
    <xf numFmtId="176" fontId="111" fillId="0" borderId="198" xfId="0" applyNumberFormat="1" applyFont="1" applyFill="1" applyBorder="1" applyAlignment="1" applyProtection="1">
      <alignment horizontal="center" vertical="center" shrinkToFit="1"/>
      <protection locked="0"/>
    </xf>
    <xf numFmtId="176" fontId="111" fillId="0" borderId="199" xfId="0" applyNumberFormat="1" applyFont="1" applyFill="1" applyBorder="1" applyAlignment="1" applyProtection="1">
      <alignment horizontal="center" vertical="center" shrinkToFit="1"/>
      <protection locked="0"/>
    </xf>
    <xf numFmtId="0" fontId="129" fillId="0" borderId="32" xfId="0" applyFont="1" applyBorder="1" applyAlignment="1">
      <alignment horizontal="center" vertical="center" wrapText="1"/>
    </xf>
    <xf numFmtId="0" fontId="129" fillId="0" borderId="27" xfId="0" applyFont="1" applyBorder="1" applyAlignment="1">
      <alignment horizontal="center" vertical="center" wrapText="1"/>
    </xf>
    <xf numFmtId="0" fontId="129" fillId="0" borderId="27" xfId="0" applyFont="1" applyBorder="1" applyAlignment="1">
      <alignment horizontal="center" vertical="center"/>
    </xf>
    <xf numFmtId="0" fontId="129" fillId="0" borderId="28" xfId="0" applyFont="1" applyBorder="1" applyAlignment="1">
      <alignment horizontal="center" vertical="center"/>
    </xf>
    <xf numFmtId="180" fontId="111" fillId="0" borderId="28" xfId="0" applyNumberFormat="1" applyFont="1" applyBorder="1" applyAlignment="1" applyProtection="1">
      <alignment horizontal="center" vertical="center" shrinkToFit="1"/>
      <protection locked="0"/>
    </xf>
    <xf numFmtId="180" fontId="111" fillId="0" borderId="44" xfId="0" applyNumberFormat="1" applyFont="1" applyBorder="1" applyAlignment="1" applyProtection="1">
      <alignment horizontal="center" vertical="center" shrinkToFit="1"/>
      <protection locked="0"/>
    </xf>
    <xf numFmtId="180" fontId="111" fillId="0" borderId="30" xfId="0" applyNumberFormat="1" applyFont="1" applyBorder="1" applyAlignment="1" applyProtection="1">
      <alignment horizontal="center" vertical="center" shrinkToFit="1"/>
      <protection locked="0"/>
    </xf>
    <xf numFmtId="176" fontId="111" fillId="0" borderId="90" xfId="0" applyNumberFormat="1" applyFont="1" applyFill="1" applyBorder="1" applyAlignment="1" applyProtection="1">
      <alignment horizontal="center" vertical="center" shrinkToFit="1"/>
      <protection locked="0"/>
    </xf>
    <xf numFmtId="176" fontId="111" fillId="0" borderId="219" xfId="0" applyNumberFormat="1" applyFont="1" applyFill="1" applyBorder="1" applyAlignment="1" applyProtection="1">
      <alignment horizontal="center" vertical="center" shrinkToFit="1"/>
      <protection locked="0"/>
    </xf>
    <xf numFmtId="176" fontId="111" fillId="0" borderId="260" xfId="0" applyNumberFormat="1" applyFont="1" applyFill="1" applyBorder="1" applyAlignment="1" applyProtection="1">
      <alignment horizontal="center" vertical="center" shrinkToFit="1"/>
      <protection locked="0"/>
    </xf>
    <xf numFmtId="176" fontId="111" fillId="0" borderId="207" xfId="0" applyNumberFormat="1" applyFont="1" applyFill="1" applyBorder="1" applyAlignment="1" applyProtection="1">
      <alignment horizontal="center" vertical="center" shrinkToFit="1"/>
      <protection locked="0"/>
    </xf>
    <xf numFmtId="176" fontId="111" fillId="0" borderId="201" xfId="0" applyNumberFormat="1" applyFont="1" applyFill="1" applyBorder="1" applyAlignment="1" applyProtection="1">
      <alignment horizontal="center" vertical="center" shrinkToFit="1"/>
      <protection locked="0"/>
    </xf>
    <xf numFmtId="176" fontId="111" fillId="0" borderId="202" xfId="0" applyNumberFormat="1" applyFont="1" applyFill="1" applyBorder="1" applyAlignment="1" applyProtection="1">
      <alignment horizontal="center" vertical="center" shrinkToFit="1"/>
      <protection locked="0"/>
    </xf>
    <xf numFmtId="176" fontId="111" fillId="0" borderId="197" xfId="0" applyNumberFormat="1" applyFont="1" applyFill="1" applyBorder="1" applyAlignment="1" applyProtection="1">
      <alignment horizontal="center" vertical="center" shrinkToFit="1"/>
      <protection locked="0"/>
    </xf>
    <xf numFmtId="176" fontId="111" fillId="0" borderId="192" xfId="0" applyNumberFormat="1" applyFont="1" applyFill="1" applyBorder="1" applyAlignment="1" applyProtection="1">
      <alignment horizontal="center" vertical="center" shrinkToFit="1"/>
      <protection locked="0"/>
    </xf>
    <xf numFmtId="176" fontId="111" fillId="0" borderId="193" xfId="0" applyNumberFormat="1" applyFont="1" applyFill="1" applyBorder="1" applyAlignment="1" applyProtection="1">
      <alignment horizontal="center" vertical="center" shrinkToFit="1"/>
      <protection locked="0"/>
    </xf>
    <xf numFmtId="176" fontId="111" fillId="0" borderId="259" xfId="0" applyNumberFormat="1" applyFont="1" applyFill="1" applyBorder="1" applyAlignment="1" applyProtection="1">
      <alignment horizontal="center" vertical="center" shrinkToFit="1"/>
      <protection locked="0"/>
    </xf>
    <xf numFmtId="176" fontId="111" fillId="0" borderId="196" xfId="0" applyNumberFormat="1" applyFont="1" applyFill="1" applyBorder="1" applyAlignment="1" applyProtection="1">
      <alignment horizontal="center" vertical="center" shrinkToFit="1"/>
      <protection locked="0"/>
    </xf>
    <xf numFmtId="176" fontId="111" fillId="0" borderId="189" xfId="0" applyNumberFormat="1" applyFont="1" applyFill="1" applyBorder="1" applyAlignment="1" applyProtection="1">
      <alignment horizontal="center" vertical="center" shrinkToFit="1"/>
      <protection locked="0"/>
    </xf>
    <xf numFmtId="176" fontId="111" fillId="0" borderId="109" xfId="0" applyNumberFormat="1" applyFont="1" applyFill="1" applyBorder="1" applyAlignment="1" applyProtection="1">
      <alignment horizontal="center" vertical="center" shrinkToFit="1"/>
      <protection locked="0"/>
    </xf>
    <xf numFmtId="0" fontId="143" fillId="0" borderId="123" xfId="0" applyFont="1" applyBorder="1" applyAlignment="1">
      <alignment horizontal="center" vertical="distributed" textRotation="255" justifyLastLine="1"/>
    </xf>
    <xf numFmtId="0" fontId="143" fillId="0" borderId="44" xfId="0" applyFont="1" applyBorder="1" applyAlignment="1">
      <alignment horizontal="center" vertical="distributed" textRotation="255" justifyLastLine="1"/>
    </xf>
    <xf numFmtId="0" fontId="143" fillId="0" borderId="218" xfId="0" applyFont="1" applyBorder="1" applyAlignment="1">
      <alignment horizontal="center" vertical="distributed" textRotation="255" justifyLastLine="1"/>
    </xf>
    <xf numFmtId="0" fontId="129" fillId="0" borderId="123" xfId="0" applyFont="1" applyBorder="1" applyAlignment="1">
      <alignment horizontal="center" vertical="center"/>
    </xf>
    <xf numFmtId="180" fontId="111" fillId="0" borderId="184" xfId="0" applyNumberFormat="1" applyFont="1" applyBorder="1" applyAlignment="1" applyProtection="1">
      <alignment horizontal="center" vertical="center" shrinkToFit="1"/>
      <protection locked="0"/>
    </xf>
    <xf numFmtId="180" fontId="111" fillId="0" borderId="26" xfId="0" applyNumberFormat="1" applyFont="1" applyBorder="1" applyAlignment="1" applyProtection="1">
      <alignment horizontal="center" vertical="center" shrinkToFit="1"/>
      <protection locked="0"/>
    </xf>
    <xf numFmtId="0" fontId="143" fillId="0" borderId="38" xfId="0" applyFont="1" applyBorder="1" applyAlignment="1">
      <alignment horizontal="center" vertical="center" textRotation="255"/>
    </xf>
    <xf numFmtId="0" fontId="143" fillId="0" borderId="148" xfId="0" applyFont="1" applyBorder="1" applyAlignment="1">
      <alignment horizontal="center" vertical="center" textRotation="255"/>
    </xf>
    <xf numFmtId="0" fontId="143" fillId="0" borderId="11" xfId="0" applyFont="1" applyBorder="1" applyAlignment="1">
      <alignment horizontal="center" vertical="center" textRotation="255"/>
    </xf>
    <xf numFmtId="0" fontId="143" fillId="0" borderId="107" xfId="0" applyFont="1" applyBorder="1" applyAlignment="1">
      <alignment horizontal="center" vertical="distributed" textRotation="255" justifyLastLine="1"/>
    </xf>
    <xf numFmtId="0" fontId="143" fillId="0" borderId="204" xfId="0" applyFont="1" applyBorder="1" applyAlignment="1">
      <alignment horizontal="center" vertical="distributed" textRotation="255" justifyLastLine="1"/>
    </xf>
    <xf numFmtId="0" fontId="143" fillId="0" borderId="182" xfId="0" applyFont="1" applyBorder="1" applyAlignment="1">
      <alignment horizontal="center" vertical="distributed" textRotation="255" justifyLastLine="1"/>
    </xf>
    <xf numFmtId="0" fontId="120" fillId="0" borderId="107" xfId="0" applyFont="1" applyBorder="1" applyAlignment="1">
      <alignment horizontal="center" vertical="center"/>
    </xf>
    <xf numFmtId="0" fontId="129" fillId="0" borderId="44" xfId="0" applyFont="1" applyBorder="1" applyAlignment="1">
      <alignment horizontal="center" vertical="center"/>
    </xf>
    <xf numFmtId="0" fontId="150" fillId="0" borderId="309" xfId="0" applyFont="1" applyBorder="1" applyAlignment="1">
      <alignment horizontal="center" vertical="center" shrinkToFit="1"/>
    </xf>
    <xf numFmtId="0" fontId="150" fillId="0" borderId="307" xfId="0" applyFont="1" applyBorder="1" applyAlignment="1">
      <alignment horizontal="center" vertical="center" shrinkToFit="1"/>
    </xf>
    <xf numFmtId="0" fontId="150" fillId="0" borderId="294" xfId="0" applyFont="1" applyBorder="1" applyAlignment="1">
      <alignment horizontal="center" vertical="center" shrinkToFit="1"/>
    </xf>
    <xf numFmtId="178" fontId="120" fillId="0" borderId="58" xfId="0" applyNumberFormat="1" applyFont="1" applyFill="1" applyBorder="1" applyAlignment="1" applyProtection="1">
      <alignment horizontal="center" vertical="center" shrinkToFit="1"/>
    </xf>
    <xf numFmtId="178" fontId="120" fillId="0" borderId="56" xfId="0" applyNumberFormat="1" applyFont="1" applyFill="1" applyBorder="1" applyAlignment="1" applyProtection="1">
      <alignment horizontal="center" vertical="center" shrinkToFit="1"/>
    </xf>
    <xf numFmtId="178" fontId="120" fillId="0" borderId="57" xfId="0" applyNumberFormat="1" applyFont="1" applyFill="1" applyBorder="1" applyAlignment="1" applyProtection="1">
      <alignment horizontal="center" vertical="center" shrinkToFit="1"/>
    </xf>
    <xf numFmtId="176" fontId="111" fillId="0" borderId="210" xfId="0" applyNumberFormat="1" applyFont="1" applyFill="1" applyBorder="1" applyAlignment="1" applyProtection="1">
      <alignment horizontal="center" vertical="center" shrinkToFit="1"/>
      <protection locked="0"/>
    </xf>
    <xf numFmtId="176" fontId="111" fillId="0" borderId="206" xfId="0" applyNumberFormat="1" applyFont="1" applyFill="1" applyBorder="1" applyAlignment="1" applyProtection="1">
      <alignment horizontal="center" vertical="center" shrinkToFit="1"/>
      <protection locked="0"/>
    </xf>
    <xf numFmtId="176" fontId="111" fillId="0" borderId="122" xfId="0" applyNumberFormat="1" applyFont="1" applyFill="1" applyBorder="1" applyAlignment="1" applyProtection="1">
      <alignment horizontal="center" vertical="center" shrinkToFit="1"/>
      <protection locked="0"/>
    </xf>
    <xf numFmtId="176" fontId="111" fillId="0" borderId="32" xfId="0" applyNumberFormat="1" applyFont="1" applyFill="1" applyBorder="1" applyAlignment="1" applyProtection="1">
      <alignment horizontal="center" vertical="center" shrinkToFit="1"/>
      <protection locked="0"/>
    </xf>
    <xf numFmtId="176" fontId="111" fillId="0" borderId="27" xfId="0" applyNumberFormat="1" applyFont="1" applyFill="1" applyBorder="1" applyAlignment="1" applyProtection="1">
      <alignment horizontal="center" vertical="center" shrinkToFit="1"/>
      <protection locked="0"/>
    </xf>
    <xf numFmtId="176" fontId="111" fillId="0" borderId="28" xfId="0" applyNumberFormat="1" applyFont="1" applyFill="1" applyBorder="1" applyAlignment="1" applyProtection="1">
      <alignment horizontal="center" vertical="center" shrinkToFit="1"/>
      <protection locked="0"/>
    </xf>
    <xf numFmtId="0" fontId="20" fillId="0" borderId="54"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38" fontId="151" fillId="12" borderId="11" xfId="1" applyFont="1" applyFill="1" applyBorder="1" applyAlignment="1" applyProtection="1">
      <alignment horizontal="right" vertical="center" shrinkToFit="1"/>
    </xf>
    <xf numFmtId="38" fontId="151" fillId="12" borderId="2" xfId="1" applyFont="1" applyFill="1" applyBorder="1" applyAlignment="1" applyProtection="1">
      <alignment horizontal="right" vertical="center" shrinkToFit="1"/>
    </xf>
    <xf numFmtId="38" fontId="151" fillId="12" borderId="3" xfId="1" applyFont="1" applyFill="1" applyBorder="1" applyAlignment="1" applyProtection="1">
      <alignment horizontal="right" vertical="center" shrinkToFit="1"/>
    </xf>
    <xf numFmtId="38" fontId="133" fillId="0" borderId="250" xfId="2" applyFont="1" applyBorder="1" applyAlignment="1" applyProtection="1">
      <alignment horizontal="right" vertical="center"/>
    </xf>
    <xf numFmtId="38" fontId="133" fillId="0" borderId="251" xfId="2" applyFont="1" applyBorder="1" applyAlignment="1" applyProtection="1">
      <alignment horizontal="right" vertical="center"/>
    </xf>
    <xf numFmtId="38" fontId="133" fillId="0" borderId="252" xfId="2" applyFont="1" applyBorder="1" applyAlignment="1" applyProtection="1">
      <alignment horizontal="right" vertical="center"/>
    </xf>
    <xf numFmtId="0" fontId="158" fillId="4" borderId="10" xfId="0" applyFont="1" applyFill="1" applyBorder="1" applyAlignment="1">
      <alignment horizontal="center" vertical="center"/>
    </xf>
    <xf numFmtId="0" fontId="158" fillId="4" borderId="0" xfId="0" applyFont="1" applyFill="1" applyAlignment="1">
      <alignment horizontal="center" vertical="center"/>
    </xf>
    <xf numFmtId="38" fontId="115" fillId="0" borderId="28" xfId="1" applyFont="1" applyFill="1" applyBorder="1" applyAlignment="1" applyProtection="1">
      <alignment horizontal="right" vertical="center" shrinkToFit="1"/>
    </xf>
    <xf numFmtId="38" fontId="115" fillId="0" borderId="44" xfId="1" applyFont="1" applyFill="1" applyBorder="1" applyAlignment="1" applyProtection="1">
      <alignment horizontal="right" vertical="center" shrinkToFit="1"/>
    </xf>
    <xf numFmtId="180" fontId="111" fillId="0" borderId="107" xfId="0" applyNumberFormat="1" applyFont="1" applyBorder="1" applyAlignment="1" applyProtection="1">
      <alignment horizontal="center" vertical="center" shrinkToFit="1"/>
      <protection locked="0"/>
    </xf>
    <xf numFmtId="180" fontId="111" fillId="0" borderId="91" xfId="0" applyNumberFormat="1" applyFont="1" applyBorder="1" applyAlignment="1" applyProtection="1">
      <alignment horizontal="center" vertical="center" shrinkToFit="1"/>
      <protection locked="0"/>
    </xf>
    <xf numFmtId="180" fontId="111" fillId="0" borderId="43" xfId="0" applyNumberFormat="1" applyFont="1" applyBorder="1" applyAlignment="1" applyProtection="1">
      <alignment horizontal="center" vertical="center" shrinkToFit="1"/>
      <protection locked="0"/>
    </xf>
    <xf numFmtId="38" fontId="151" fillId="0" borderId="175" xfId="2" applyFont="1" applyFill="1" applyBorder="1" applyAlignment="1" applyProtection="1">
      <alignment horizontal="right" vertical="center" shrinkToFit="1"/>
    </xf>
    <xf numFmtId="38" fontId="151" fillId="0" borderId="39" xfId="2" applyFont="1" applyFill="1" applyBorder="1" applyAlignment="1" applyProtection="1">
      <alignment horizontal="right" vertical="center" shrinkToFit="1"/>
    </xf>
    <xf numFmtId="38" fontId="151" fillId="0" borderId="316" xfId="1" applyFont="1" applyFill="1" applyBorder="1" applyAlignment="1" applyProtection="1">
      <alignment horizontal="right" vertical="center" shrinkToFit="1"/>
    </xf>
    <xf numFmtId="38" fontId="151" fillId="0" borderId="317" xfId="1" applyFont="1" applyFill="1" applyBorder="1" applyAlignment="1" applyProtection="1">
      <alignment horizontal="right" vertical="center" shrinkToFit="1"/>
    </xf>
    <xf numFmtId="6" fontId="151" fillId="0" borderId="39" xfId="4" applyFont="1" applyFill="1" applyBorder="1" applyAlignment="1" applyProtection="1">
      <alignment horizontal="right" vertical="center" shrinkToFit="1"/>
    </xf>
    <xf numFmtId="38" fontId="146" fillId="0" borderId="28" xfId="1" applyFont="1" applyFill="1" applyBorder="1" applyAlignment="1" applyProtection="1">
      <alignment horizontal="right" vertical="center" shrinkToFit="1"/>
    </xf>
    <xf numFmtId="38" fontId="146" fillId="0" borderId="44" xfId="1" applyFont="1" applyFill="1" applyBorder="1" applyAlignment="1" applyProtection="1">
      <alignment horizontal="right" vertical="center" shrinkToFit="1"/>
    </xf>
    <xf numFmtId="38" fontId="133" fillId="0" borderId="250" xfId="2" applyFont="1" applyBorder="1" applyAlignment="1" applyProtection="1">
      <alignment horizontal="right" vertical="center" shrinkToFit="1"/>
    </xf>
    <xf numFmtId="38" fontId="133" fillId="0" borderId="251" xfId="2" applyFont="1" applyBorder="1" applyAlignment="1" applyProtection="1">
      <alignment horizontal="right" vertical="center" shrinkToFit="1"/>
    </xf>
    <xf numFmtId="38" fontId="133" fillId="0" borderId="252" xfId="2" applyFont="1" applyBorder="1" applyAlignment="1" applyProtection="1">
      <alignment horizontal="right" vertical="center" shrinkToFit="1"/>
    </xf>
    <xf numFmtId="38" fontId="133" fillId="0" borderId="58" xfId="2" applyFont="1" applyBorder="1" applyAlignment="1" applyProtection="1">
      <alignment horizontal="right" vertical="center"/>
    </xf>
    <xf numFmtId="38" fontId="133" fillId="0" borderId="56" xfId="2" applyFont="1" applyBorder="1" applyAlignment="1" applyProtection="1">
      <alignment horizontal="right" vertical="center"/>
    </xf>
    <xf numFmtId="38" fontId="133" fillId="0" borderId="57" xfId="2" applyFont="1" applyBorder="1" applyAlignment="1" applyProtection="1">
      <alignment horizontal="right" vertical="center"/>
    </xf>
    <xf numFmtId="0" fontId="132" fillId="12" borderId="2" xfId="0" applyFont="1" applyFill="1" applyBorder="1" applyAlignment="1">
      <alignment horizontal="center" vertical="center"/>
    </xf>
    <xf numFmtId="0" fontId="132" fillId="12" borderId="3" xfId="0" applyFont="1" applyFill="1" applyBorder="1" applyAlignment="1">
      <alignment horizontal="center" vertical="center"/>
    </xf>
    <xf numFmtId="178" fontId="150" fillId="0" borderId="56" xfId="0" applyNumberFormat="1" applyFont="1" applyBorder="1" applyAlignment="1">
      <alignment horizontal="center" vertical="center"/>
    </xf>
    <xf numFmtId="178" fontId="150" fillId="0" borderId="57" xfId="0" applyNumberFormat="1" applyFont="1" applyBorder="1" applyAlignment="1">
      <alignment horizontal="center" vertical="center"/>
    </xf>
    <xf numFmtId="180" fontId="111" fillId="0" borderId="33" xfId="0" applyNumberFormat="1" applyFont="1" applyBorder="1" applyAlignment="1" applyProtection="1">
      <alignment horizontal="center" vertical="center" shrinkToFit="1"/>
      <protection locked="0"/>
    </xf>
    <xf numFmtId="180" fontId="111" fillId="0" borderId="100" xfId="0" applyNumberFormat="1" applyFont="1" applyBorder="1" applyAlignment="1" applyProtection="1">
      <alignment horizontal="center" vertical="center" shrinkToFit="1"/>
      <protection locked="0"/>
    </xf>
    <xf numFmtId="180" fontId="111" fillId="0" borderId="298" xfId="0" applyNumberFormat="1" applyFont="1" applyBorder="1" applyAlignment="1" applyProtection="1">
      <alignment horizontal="center" vertical="center" shrinkToFit="1"/>
      <protection locked="0"/>
    </xf>
    <xf numFmtId="38" fontId="146" fillId="0" borderId="100" xfId="1" applyFont="1" applyFill="1" applyBorder="1" applyAlignment="1" applyProtection="1">
      <alignment horizontal="right" vertical="center" shrinkToFit="1"/>
    </xf>
    <xf numFmtId="38" fontId="146" fillId="0" borderId="123" xfId="1" applyFont="1" applyFill="1" applyBorder="1" applyAlignment="1" applyProtection="1">
      <alignment horizontal="right" vertical="center" shrinkToFit="1"/>
    </xf>
    <xf numFmtId="38" fontId="151" fillId="12" borderId="11" xfId="2" applyFont="1" applyFill="1" applyBorder="1" applyAlignment="1" applyProtection="1">
      <alignment horizontal="right" vertical="center" shrinkToFit="1"/>
    </xf>
    <xf numFmtId="38" fontId="151" fillId="12" borderId="2" xfId="2" applyFont="1" applyFill="1" applyBorder="1" applyAlignment="1" applyProtection="1">
      <alignment horizontal="right" vertical="center" shrinkToFit="1"/>
    </xf>
    <xf numFmtId="38" fontId="151" fillId="12" borderId="3" xfId="2" applyFont="1" applyFill="1" applyBorder="1" applyAlignment="1" applyProtection="1">
      <alignment horizontal="right" vertical="center" shrinkToFit="1"/>
    </xf>
    <xf numFmtId="38" fontId="151" fillId="12" borderId="11" xfId="2" applyFont="1" applyFill="1" applyBorder="1" applyAlignment="1" applyProtection="1">
      <alignment vertical="center" shrinkToFit="1"/>
    </xf>
    <xf numFmtId="38" fontId="151" fillId="12" borderId="2" xfId="2" applyFont="1" applyFill="1" applyBorder="1" applyAlignment="1" applyProtection="1">
      <alignment vertical="center" shrinkToFit="1"/>
    </xf>
    <xf numFmtId="38" fontId="151" fillId="12" borderId="3" xfId="2" applyFont="1" applyFill="1" applyBorder="1" applyAlignment="1" applyProtection="1">
      <alignment vertical="center" shrinkToFit="1"/>
    </xf>
    <xf numFmtId="38" fontId="151" fillId="0" borderId="36" xfId="2" applyFont="1" applyFill="1" applyBorder="1" applyAlignment="1" applyProtection="1">
      <alignment horizontal="right" vertical="center" shrinkToFit="1"/>
    </xf>
    <xf numFmtId="38" fontId="151" fillId="0" borderId="35" xfId="2" applyFont="1" applyFill="1" applyBorder="1" applyAlignment="1" applyProtection="1">
      <alignment horizontal="right" vertical="center" shrinkToFit="1"/>
    </xf>
    <xf numFmtId="38" fontId="151" fillId="0" borderId="211" xfId="2" applyFont="1" applyFill="1" applyBorder="1" applyAlignment="1" applyProtection="1">
      <alignment horizontal="right" vertical="center" shrinkToFit="1"/>
    </xf>
    <xf numFmtId="38" fontId="149" fillId="0" borderId="186" xfId="2" applyFont="1" applyFill="1" applyBorder="1" applyAlignment="1" applyProtection="1">
      <alignment horizontal="center" vertical="center" shrinkToFit="1"/>
      <protection locked="0"/>
    </xf>
    <xf numFmtId="38" fontId="149" fillId="0" borderId="187" xfId="2" applyFont="1" applyFill="1" applyBorder="1" applyAlignment="1" applyProtection="1">
      <alignment horizontal="center" vertical="center" shrinkToFit="1"/>
      <protection locked="0"/>
    </xf>
    <xf numFmtId="38" fontId="149" fillId="0" borderId="214" xfId="2" applyFont="1" applyFill="1" applyBorder="1" applyAlignment="1" applyProtection="1">
      <alignment horizontal="center" vertical="center" shrinkToFit="1"/>
      <protection locked="0"/>
    </xf>
    <xf numFmtId="38" fontId="146" fillId="0" borderId="237" xfId="1" applyFont="1" applyFill="1" applyBorder="1" applyAlignment="1" applyProtection="1">
      <alignment horizontal="right" vertical="center" shrinkToFit="1"/>
    </xf>
    <xf numFmtId="38" fontId="146" fillId="0" borderId="218" xfId="1" applyFont="1" applyFill="1" applyBorder="1" applyAlignment="1" applyProtection="1">
      <alignment horizontal="right" vertical="center" shrinkToFit="1"/>
    </xf>
    <xf numFmtId="38" fontId="146" fillId="0" borderId="202" xfId="1" applyFont="1" applyFill="1" applyBorder="1" applyAlignment="1" applyProtection="1">
      <alignment horizontal="right" vertical="center" shrinkToFit="1"/>
    </xf>
    <xf numFmtId="38" fontId="146" fillId="0" borderId="219" xfId="1" applyFont="1" applyFill="1" applyBorder="1" applyAlignment="1" applyProtection="1">
      <alignment horizontal="right" vertical="center" shrinkToFit="1"/>
    </xf>
    <xf numFmtId="0" fontId="133" fillId="13" borderId="203" xfId="0" applyFont="1" applyFill="1" applyBorder="1" applyAlignment="1">
      <alignment horizontal="center" vertical="center" textRotation="255"/>
    </xf>
    <xf numFmtId="0" fontId="133" fillId="13" borderId="253" xfId="0" applyFont="1" applyFill="1" applyBorder="1" applyAlignment="1">
      <alignment horizontal="center" vertical="center" textRotation="255"/>
    </xf>
    <xf numFmtId="176" fontId="111" fillId="0" borderId="196" xfId="0" applyNumberFormat="1" applyFont="1" applyBorder="1" applyAlignment="1" applyProtection="1">
      <alignment horizontal="center" vertical="center" shrinkToFit="1"/>
      <protection locked="0"/>
    </xf>
    <xf numFmtId="176" fontId="111" fillId="0" borderId="189" xfId="0" applyNumberFormat="1" applyFont="1" applyBorder="1" applyAlignment="1" applyProtection="1">
      <alignment horizontal="center" vertical="center" shrinkToFit="1"/>
      <protection locked="0"/>
    </xf>
    <xf numFmtId="176" fontId="111" fillId="0" borderId="109" xfId="0" applyNumberFormat="1" applyFont="1" applyBorder="1" applyAlignment="1" applyProtection="1">
      <alignment horizontal="center" vertical="center" shrinkToFit="1"/>
      <protection locked="0"/>
    </xf>
    <xf numFmtId="176" fontId="111" fillId="0" borderId="197" xfId="0" applyNumberFormat="1" applyFont="1" applyBorder="1" applyAlignment="1" applyProtection="1">
      <alignment horizontal="center" vertical="center" shrinkToFit="1"/>
      <protection locked="0"/>
    </xf>
    <xf numFmtId="176" fontId="111" fillId="0" borderId="192" xfId="0" applyNumberFormat="1" applyFont="1" applyBorder="1" applyAlignment="1" applyProtection="1">
      <alignment horizontal="center" vertical="center" shrinkToFit="1"/>
      <protection locked="0"/>
    </xf>
    <xf numFmtId="176" fontId="111" fillId="0" borderId="193" xfId="0" applyNumberFormat="1" applyFont="1" applyBorder="1" applyAlignment="1" applyProtection="1">
      <alignment horizontal="center" vertical="center" shrinkToFit="1"/>
      <protection locked="0"/>
    </xf>
    <xf numFmtId="178" fontId="120" fillId="0" borderId="188" xfId="0" applyNumberFormat="1" applyFont="1" applyBorder="1" applyAlignment="1">
      <alignment horizontal="center" vertical="center" shrinkToFit="1"/>
    </xf>
    <xf numFmtId="178" fontId="120" fillId="0" borderId="189" xfId="0" applyNumberFormat="1" applyFont="1" applyBorder="1" applyAlignment="1">
      <alignment horizontal="center" vertical="center" shrinkToFit="1"/>
    </xf>
    <xf numFmtId="178" fontId="120" fillId="0" borderId="109" xfId="0" applyNumberFormat="1" applyFont="1" applyBorder="1" applyAlignment="1">
      <alignment horizontal="center" vertical="center" shrinkToFit="1"/>
    </xf>
    <xf numFmtId="178" fontId="120" fillId="0" borderId="185" xfId="0" applyNumberFormat="1" applyFont="1" applyBorder="1" applyAlignment="1">
      <alignment horizontal="center" vertical="center" shrinkToFit="1"/>
    </xf>
    <xf numFmtId="178" fontId="120" fillId="0" borderId="186" xfId="0" applyNumberFormat="1" applyFont="1" applyBorder="1" applyAlignment="1">
      <alignment horizontal="center" vertical="center" shrinkToFit="1"/>
    </xf>
    <xf numFmtId="178" fontId="120" fillId="0" borderId="187" xfId="0" applyNumberFormat="1" applyFont="1" applyBorder="1" applyAlignment="1">
      <alignment horizontal="center" vertical="center" shrinkToFit="1"/>
    </xf>
    <xf numFmtId="178" fontId="120" fillId="0" borderId="184" xfId="0" applyNumberFormat="1" applyFont="1" applyBorder="1" applyAlignment="1">
      <alignment horizontal="center" vertical="center" shrinkToFit="1"/>
    </xf>
    <xf numFmtId="178" fontId="120" fillId="0" borderId="25" xfId="0" applyNumberFormat="1" applyFont="1" applyBorder="1" applyAlignment="1">
      <alignment horizontal="center" vertical="center" shrinkToFit="1"/>
    </xf>
    <xf numFmtId="178" fontId="120" fillId="0" borderId="26" xfId="0" applyNumberFormat="1" applyFont="1" applyBorder="1" applyAlignment="1">
      <alignment horizontal="center" vertical="center" shrinkToFit="1"/>
    </xf>
    <xf numFmtId="176" fontId="115" fillId="0" borderId="194" xfId="0" applyNumberFormat="1" applyFont="1" applyBorder="1" applyAlignment="1">
      <alignment horizontal="center" vertical="center" shrinkToFit="1"/>
    </xf>
    <xf numFmtId="176" fontId="115" fillId="0" borderId="195" xfId="0" applyNumberFormat="1" applyFont="1" applyBorder="1" applyAlignment="1">
      <alignment horizontal="center" vertical="center" shrinkToFit="1"/>
    </xf>
    <xf numFmtId="176" fontId="111" fillId="0" borderId="188" xfId="0" applyNumberFormat="1" applyFont="1" applyBorder="1" applyAlignment="1" applyProtection="1">
      <alignment horizontal="center" vertical="center" shrinkToFit="1"/>
      <protection locked="0"/>
    </xf>
    <xf numFmtId="176" fontId="111" fillId="0" borderId="191" xfId="0" applyNumberFormat="1" applyFont="1" applyBorder="1" applyAlignment="1" applyProtection="1">
      <alignment horizontal="center" vertical="center" shrinkToFit="1"/>
      <protection locked="0"/>
    </xf>
    <xf numFmtId="178" fontId="120" fillId="0" borderId="191" xfId="0" applyNumberFormat="1" applyFont="1" applyBorder="1" applyAlignment="1">
      <alignment horizontal="center" vertical="center" shrinkToFit="1"/>
    </xf>
    <xf numFmtId="178" fontId="120" fillId="0" borderId="192" xfId="0" applyNumberFormat="1" applyFont="1" applyBorder="1" applyAlignment="1">
      <alignment horizontal="center" vertical="center" shrinkToFit="1"/>
    </xf>
    <xf numFmtId="178" fontId="120" fillId="0" borderId="193" xfId="0" applyNumberFormat="1" applyFont="1" applyBorder="1" applyAlignment="1">
      <alignment horizontal="center" vertical="center" shrinkToFit="1"/>
    </xf>
    <xf numFmtId="38" fontId="151" fillId="0" borderId="13" xfId="2" applyFont="1" applyFill="1" applyBorder="1" applyAlignment="1" applyProtection="1">
      <alignment horizontal="right" vertical="center" shrinkToFit="1"/>
    </xf>
    <xf numFmtId="38" fontId="151" fillId="0" borderId="12" xfId="2" applyFont="1" applyFill="1" applyBorder="1" applyAlignment="1" applyProtection="1">
      <alignment horizontal="right" vertical="center" shrinkToFit="1"/>
    </xf>
    <xf numFmtId="6" fontId="151" fillId="0" borderId="178" xfId="4" applyFont="1" applyFill="1" applyBorder="1" applyAlignment="1" applyProtection="1">
      <alignment horizontal="right" vertical="center" shrinkToFit="1"/>
    </xf>
    <xf numFmtId="6" fontId="151" fillId="0" borderId="70" xfId="4" applyFont="1" applyFill="1" applyBorder="1" applyAlignment="1" applyProtection="1">
      <alignment horizontal="right" vertical="center" shrinkToFit="1"/>
    </xf>
    <xf numFmtId="178" fontId="120" fillId="0" borderId="200" xfId="0" applyNumberFormat="1" applyFont="1" applyBorder="1" applyAlignment="1">
      <alignment horizontal="center" vertical="center" shrinkToFit="1"/>
    </xf>
    <xf numFmtId="178" fontId="120" fillId="0" borderId="201" xfId="0" applyNumberFormat="1" applyFont="1" applyBorder="1" applyAlignment="1">
      <alignment horizontal="center" vertical="center" shrinkToFit="1"/>
    </xf>
    <xf numFmtId="178" fontId="120" fillId="0" borderId="202" xfId="0" applyNumberFormat="1" applyFont="1" applyBorder="1" applyAlignment="1">
      <alignment horizontal="center" vertical="center" shrinkToFit="1"/>
    </xf>
    <xf numFmtId="176" fontId="115" fillId="0" borderId="203" xfId="0" applyNumberFormat="1" applyFont="1" applyBorder="1" applyAlignment="1">
      <alignment horizontal="center" vertical="center" shrinkToFit="1"/>
    </xf>
    <xf numFmtId="180" fontId="120" fillId="0" borderId="198" xfId="3" applyNumberFormat="1" applyFont="1" applyFill="1" applyBorder="1" applyAlignment="1" applyProtection="1">
      <alignment horizontal="center" vertical="center" shrinkToFit="1"/>
    </xf>
    <xf numFmtId="180" fontId="120" fillId="0" borderId="199" xfId="3" applyNumberFormat="1" applyFont="1" applyFill="1" applyBorder="1" applyAlignment="1" applyProtection="1">
      <alignment horizontal="center" vertical="center" shrinkToFit="1"/>
    </xf>
    <xf numFmtId="180" fontId="111" fillId="0" borderId="220" xfId="0" applyNumberFormat="1" applyFont="1" applyBorder="1" applyAlignment="1" applyProtection="1">
      <alignment horizontal="center" vertical="center" shrinkToFit="1"/>
      <protection locked="0"/>
    </xf>
    <xf numFmtId="180" fontId="111" fillId="0" borderId="219" xfId="0" applyNumberFormat="1" applyFont="1" applyBorder="1" applyAlignment="1" applyProtection="1">
      <alignment horizontal="center" vertical="center" shrinkToFit="1"/>
      <protection locked="0"/>
    </xf>
    <xf numFmtId="0" fontId="120" fillId="0" borderId="44" xfId="0" applyFont="1" applyBorder="1" applyAlignment="1">
      <alignment horizontal="center" vertical="center"/>
    </xf>
    <xf numFmtId="38" fontId="149" fillId="0" borderId="2" xfId="2" applyFont="1" applyFill="1" applyBorder="1" applyAlignment="1" applyProtection="1">
      <alignment horizontal="center" vertical="center" shrinkToFit="1"/>
      <protection locked="0"/>
    </xf>
    <xf numFmtId="38" fontId="149" fillId="0" borderId="3" xfId="2" applyFont="1" applyFill="1" applyBorder="1" applyAlignment="1" applyProtection="1">
      <alignment horizontal="center" vertical="center" shrinkToFit="1"/>
      <protection locked="0"/>
    </xf>
    <xf numFmtId="0" fontId="129" fillId="0" borderId="182" xfId="0" applyFont="1" applyBorder="1" applyAlignment="1">
      <alignment horizontal="center" vertical="center"/>
    </xf>
    <xf numFmtId="38" fontId="151" fillId="0" borderId="157" xfId="2" applyFont="1" applyFill="1" applyBorder="1" applyAlignment="1" applyProtection="1">
      <alignment horizontal="right" vertical="center" shrinkToFit="1"/>
    </xf>
    <xf numFmtId="38" fontId="151" fillId="0" borderId="276" xfId="2" applyFont="1" applyFill="1" applyBorder="1" applyAlignment="1" applyProtection="1">
      <alignment horizontal="right" vertical="center" shrinkToFit="1"/>
    </xf>
    <xf numFmtId="180" fontId="120" fillId="0" borderId="90" xfId="3" applyNumberFormat="1" applyFont="1" applyFill="1" applyBorder="1" applyAlignment="1" applyProtection="1">
      <alignment horizontal="center" vertical="center" shrinkToFit="1"/>
    </xf>
    <xf numFmtId="180" fontId="120" fillId="0" borderId="101" xfId="3" applyNumberFormat="1" applyFont="1" applyFill="1" applyBorder="1" applyAlignment="1" applyProtection="1">
      <alignment horizontal="center" vertical="center" shrinkToFit="1"/>
    </xf>
    <xf numFmtId="0" fontId="133" fillId="3" borderId="203" xfId="0" applyFont="1" applyFill="1" applyBorder="1" applyAlignment="1">
      <alignment horizontal="center" vertical="center" textRotation="255"/>
    </xf>
    <xf numFmtId="0" fontId="133" fillId="3" borderId="253" xfId="0" applyFont="1" applyFill="1" applyBorder="1" applyAlignment="1">
      <alignment horizontal="center" vertical="center" textRotation="255"/>
    </xf>
    <xf numFmtId="178" fontId="150" fillId="12" borderId="2" xfId="0" applyNumberFormat="1" applyFont="1" applyFill="1" applyBorder="1" applyAlignment="1">
      <alignment horizontal="center" vertical="center"/>
    </xf>
    <xf numFmtId="178" fontId="150" fillId="12" borderId="3" xfId="0" applyNumberFormat="1" applyFont="1" applyFill="1" applyBorder="1" applyAlignment="1">
      <alignment horizontal="center" vertical="center"/>
    </xf>
    <xf numFmtId="178" fontId="120" fillId="0" borderId="183" xfId="0" applyNumberFormat="1" applyFont="1" applyBorder="1" applyAlignment="1" applyProtection="1">
      <alignment horizontal="center" vertical="center" shrinkToFit="1"/>
      <protection locked="0"/>
    </xf>
    <xf numFmtId="178" fontId="120" fillId="0" borderId="27" xfId="0" applyNumberFormat="1" applyFont="1" applyBorder="1" applyAlignment="1" applyProtection="1">
      <alignment horizontal="center" vertical="center" shrinkToFit="1"/>
      <protection locked="0"/>
    </xf>
    <xf numFmtId="178" fontId="120" fillId="0" borderId="28" xfId="0" applyNumberFormat="1" applyFont="1" applyBorder="1" applyAlignment="1" applyProtection="1">
      <alignment horizontal="center" vertical="center" shrinkToFit="1"/>
      <protection locked="0"/>
    </xf>
    <xf numFmtId="38" fontId="149" fillId="0" borderId="188" xfId="1" applyFont="1" applyFill="1" applyBorder="1" applyAlignment="1" applyProtection="1">
      <alignment horizontal="right" vertical="center" shrinkToFit="1"/>
    </xf>
    <xf numFmtId="38" fontId="146" fillId="0" borderId="109" xfId="1" applyFont="1" applyFill="1" applyBorder="1" applyAlignment="1" applyProtection="1">
      <alignment horizontal="right" vertical="center" shrinkToFit="1"/>
    </xf>
    <xf numFmtId="180" fontId="111" fillId="0" borderId="41" xfId="0" applyNumberFormat="1" applyFont="1" applyBorder="1" applyAlignment="1" applyProtection="1">
      <alignment horizontal="center" vertical="center" shrinkToFit="1"/>
      <protection locked="0"/>
    </xf>
    <xf numFmtId="180" fontId="111" fillId="0" borderId="29" xfId="0" applyNumberFormat="1" applyFont="1" applyBorder="1" applyAlignment="1" applyProtection="1">
      <alignment horizontal="center" vertical="center" shrinkToFit="1"/>
      <protection locked="0"/>
    </xf>
    <xf numFmtId="38" fontId="146" fillId="0" borderId="26" xfId="1" applyFont="1" applyFill="1" applyBorder="1" applyAlignment="1" applyProtection="1">
      <alignment horizontal="right" vertical="center" shrinkToFit="1"/>
    </xf>
    <xf numFmtId="38" fontId="146" fillId="0" borderId="107" xfId="1" applyFont="1" applyFill="1" applyBorder="1" applyAlignment="1" applyProtection="1">
      <alignment horizontal="right" vertical="center" shrinkToFit="1"/>
    </xf>
    <xf numFmtId="178" fontId="120" fillId="0" borderId="164" xfId="0" applyNumberFormat="1" applyFont="1" applyBorder="1" applyAlignment="1">
      <alignment horizontal="center" vertical="center" shrinkToFit="1"/>
    </xf>
    <xf numFmtId="178" fontId="120" fillId="0" borderId="0" xfId="0" applyNumberFormat="1" applyFont="1" applyAlignment="1">
      <alignment horizontal="center" vertical="center" shrinkToFit="1"/>
    </xf>
    <xf numFmtId="178" fontId="120" fillId="0" borderId="12" xfId="0" applyNumberFormat="1" applyFont="1" applyBorder="1" applyAlignment="1">
      <alignment horizontal="center" vertical="center" shrinkToFit="1"/>
    </xf>
    <xf numFmtId="38" fontId="149" fillId="0" borderId="13" xfId="2" applyFont="1" applyFill="1" applyBorder="1" applyAlignment="1" applyProtection="1">
      <alignment horizontal="center" vertical="center" shrinkToFit="1"/>
      <protection locked="0"/>
    </xf>
    <xf numFmtId="38" fontId="149" fillId="0" borderId="12" xfId="2" applyFont="1" applyFill="1" applyBorder="1" applyAlignment="1" applyProtection="1">
      <alignment horizontal="center" vertical="center" shrinkToFit="1"/>
      <protection locked="0"/>
    </xf>
    <xf numFmtId="38" fontId="149" fillId="0" borderId="299" xfId="2" applyFont="1" applyFill="1" applyBorder="1" applyAlignment="1" applyProtection="1">
      <alignment horizontal="center" vertical="center" shrinkToFit="1"/>
      <protection locked="0"/>
    </xf>
    <xf numFmtId="176" fontId="111" fillId="0" borderId="32" xfId="0" applyNumberFormat="1" applyFont="1" applyBorder="1" applyAlignment="1" applyProtection="1">
      <alignment horizontal="center" vertical="center" shrinkToFit="1"/>
      <protection locked="0"/>
    </xf>
    <xf numFmtId="176" fontId="111" fillId="0" borderId="27" xfId="0" applyNumberFormat="1" applyFont="1" applyBorder="1" applyAlignment="1" applyProtection="1">
      <alignment horizontal="center" vertical="center" shrinkToFit="1"/>
      <protection locked="0"/>
    </xf>
    <xf numFmtId="176" fontId="111" fillId="0" borderId="28" xfId="0" applyNumberFormat="1" applyFont="1" applyBorder="1" applyAlignment="1" applyProtection="1">
      <alignment horizontal="center" vertical="center" shrinkToFit="1"/>
      <protection locked="0"/>
    </xf>
    <xf numFmtId="176" fontId="111" fillId="0" borderId="32" xfId="0" applyNumberFormat="1" applyFont="1" applyBorder="1" applyAlignment="1" applyProtection="1">
      <alignment vertical="center" shrinkToFit="1"/>
      <protection locked="0"/>
    </xf>
    <xf numFmtId="176" fontId="111" fillId="0" borderId="27" xfId="0" applyNumberFormat="1" applyFont="1" applyBorder="1" applyAlignment="1" applyProtection="1">
      <alignment vertical="center" shrinkToFit="1"/>
      <protection locked="0"/>
    </xf>
    <xf numFmtId="176" fontId="111" fillId="0" borderId="28" xfId="0" applyNumberFormat="1" applyFont="1" applyBorder="1" applyAlignment="1" applyProtection="1">
      <alignment vertical="center" shrinkToFit="1"/>
      <protection locked="0"/>
    </xf>
    <xf numFmtId="176" fontId="111" fillId="0" borderId="205" xfId="0" applyNumberFormat="1" applyFont="1" applyBorder="1" applyAlignment="1" applyProtection="1">
      <alignment horizontal="center" vertical="center" shrinkToFit="1"/>
      <protection locked="0"/>
    </xf>
    <xf numFmtId="176" fontId="111" fillId="0" borderId="206" xfId="0" applyNumberFormat="1" applyFont="1" applyBorder="1" applyAlignment="1" applyProtection="1">
      <alignment horizontal="center" vertical="center" shrinkToFit="1"/>
      <protection locked="0"/>
    </xf>
    <xf numFmtId="176" fontId="111" fillId="0" borderId="122" xfId="0" applyNumberFormat="1" applyFont="1" applyBorder="1" applyAlignment="1" applyProtection="1">
      <alignment horizontal="center" vertical="center" shrinkToFit="1"/>
      <protection locked="0"/>
    </xf>
    <xf numFmtId="176" fontId="111" fillId="0" borderId="210" xfId="0" applyNumberFormat="1" applyFont="1" applyBorder="1" applyAlignment="1" applyProtection="1">
      <alignment horizontal="center" vertical="center" shrinkToFit="1"/>
      <protection locked="0"/>
    </xf>
    <xf numFmtId="176" fontId="111" fillId="0" borderId="207" xfId="0" applyNumberFormat="1" applyFont="1" applyBorder="1" applyAlignment="1" applyProtection="1">
      <alignment horizontal="center" vertical="center" shrinkToFit="1"/>
      <protection locked="0"/>
    </xf>
    <xf numFmtId="176" fontId="111" fillId="0" borderId="201" xfId="0" applyNumberFormat="1" applyFont="1" applyBorder="1" applyAlignment="1" applyProtection="1">
      <alignment horizontal="center" vertical="center" shrinkToFit="1"/>
      <protection locked="0"/>
    </xf>
    <xf numFmtId="176" fontId="111" fillId="0" borderId="202" xfId="0" applyNumberFormat="1" applyFont="1" applyBorder="1" applyAlignment="1" applyProtection="1">
      <alignment horizontal="center" vertical="center" shrinkToFit="1"/>
      <protection locked="0"/>
    </xf>
    <xf numFmtId="176" fontId="115" fillId="0" borderId="208" xfId="0" applyNumberFormat="1" applyFont="1" applyBorder="1" applyAlignment="1">
      <alignment horizontal="center" vertical="center" shrinkToFit="1"/>
    </xf>
    <xf numFmtId="176" fontId="111" fillId="0" borderId="200" xfId="0" applyNumberFormat="1" applyFont="1" applyBorder="1" applyAlignment="1" applyProtection="1">
      <alignment horizontal="center" vertical="center" shrinkToFit="1"/>
      <protection locked="0"/>
    </xf>
    <xf numFmtId="0" fontId="129" fillId="0" borderId="14" xfId="0" applyFont="1" applyBorder="1" applyAlignment="1">
      <alignment horizontal="center" vertical="center"/>
    </xf>
    <xf numFmtId="0" fontId="129" fillId="0" borderId="34" xfId="0" applyFont="1" applyBorder="1" applyAlignment="1">
      <alignment horizontal="center" vertical="center"/>
    </xf>
    <xf numFmtId="176" fontId="111" fillId="0" borderId="210" xfId="0" applyNumberFormat="1" applyFont="1" applyBorder="1" applyAlignment="1" applyProtection="1">
      <alignment vertical="center" shrinkToFit="1"/>
      <protection locked="0"/>
    </xf>
    <xf numFmtId="176" fontId="111" fillId="0" borderId="206" xfId="0" applyNumberFormat="1" applyFont="1" applyBorder="1" applyAlignment="1" applyProtection="1">
      <alignment vertical="center" shrinkToFit="1"/>
      <protection locked="0"/>
    </xf>
    <xf numFmtId="176" fontId="111" fillId="0" borderId="122" xfId="0" applyNumberFormat="1" applyFont="1" applyBorder="1" applyAlignment="1" applyProtection="1">
      <alignment vertical="center" shrinkToFit="1"/>
      <protection locked="0"/>
    </xf>
    <xf numFmtId="0" fontId="143" fillId="0" borderId="15" xfId="0" applyFont="1" applyBorder="1" applyAlignment="1">
      <alignment horizontal="center" vertical="center" textRotation="255" shrinkToFit="1"/>
    </xf>
    <xf numFmtId="0" fontId="143" fillId="0" borderId="13" xfId="0" applyFont="1" applyBorder="1" applyAlignment="1">
      <alignment horizontal="center" vertical="center" textRotation="255" shrinkToFit="1"/>
    </xf>
    <xf numFmtId="0" fontId="143" fillId="0" borderId="178" xfId="0" applyFont="1" applyBorder="1" applyAlignment="1">
      <alignment horizontal="center" vertical="center" textRotation="255" shrinkToFit="1"/>
    </xf>
    <xf numFmtId="0" fontId="129" fillId="0" borderId="38" xfId="0" applyFont="1" applyBorder="1" applyAlignment="1">
      <alignment horizontal="center" vertical="center" wrapText="1" shrinkToFit="1"/>
    </xf>
    <xf numFmtId="0" fontId="129" fillId="0" borderId="38" xfId="0" applyFont="1" applyBorder="1" applyAlignment="1">
      <alignment horizontal="center" vertical="center" shrinkToFit="1"/>
    </xf>
    <xf numFmtId="0" fontId="129" fillId="0" borderId="13" xfId="0" applyFont="1" applyBorder="1" applyAlignment="1">
      <alignment horizontal="center" vertical="center" shrinkToFit="1"/>
    </xf>
    <xf numFmtId="0" fontId="115" fillId="0" borderId="313" xfId="0" applyFont="1" applyBorder="1" applyAlignment="1" applyProtection="1">
      <alignment horizontal="center" vertical="center"/>
      <protection locked="0"/>
    </xf>
    <xf numFmtId="0" fontId="115" fillId="0" borderId="314" xfId="0" applyFont="1" applyBorder="1" applyAlignment="1" applyProtection="1">
      <alignment horizontal="center" vertical="center"/>
      <protection locked="0"/>
    </xf>
    <xf numFmtId="0" fontId="129" fillId="0" borderId="112" xfId="0" applyFont="1" applyBorder="1" applyAlignment="1" applyProtection="1">
      <alignment horizontal="center" vertical="center" shrinkToFit="1"/>
      <protection locked="0"/>
    </xf>
    <xf numFmtId="0" fontId="129" fillId="0" borderId="113" xfId="0" applyFont="1" applyBorder="1" applyAlignment="1" applyProtection="1">
      <alignment horizontal="center" vertical="center" shrinkToFit="1"/>
      <protection locked="0"/>
    </xf>
    <xf numFmtId="0" fontId="129" fillId="0" borderId="126" xfId="0" applyFont="1" applyBorder="1" applyAlignment="1" applyProtection="1">
      <alignment horizontal="center" vertical="center" shrinkToFit="1"/>
      <protection locked="0"/>
    </xf>
    <xf numFmtId="180" fontId="111" fillId="0" borderId="236" xfId="0" applyNumberFormat="1" applyFont="1" applyBorder="1" applyAlignment="1" applyProtection="1">
      <alignment horizontal="center" vertical="center" shrinkToFit="1"/>
      <protection locked="0"/>
    </xf>
    <xf numFmtId="180" fontId="111" fillId="0" borderId="108" xfId="0" applyNumberFormat="1" applyFont="1" applyBorder="1" applyAlignment="1" applyProtection="1">
      <alignment horizontal="center" vertical="center" shrinkToFit="1"/>
      <protection locked="0"/>
    </xf>
    <xf numFmtId="180" fontId="111" fillId="0" borderId="119" xfId="0" applyNumberFormat="1" applyFont="1" applyBorder="1" applyAlignment="1" applyProtection="1">
      <alignment horizontal="center" vertical="center" shrinkToFit="1"/>
      <protection locked="0"/>
    </xf>
    <xf numFmtId="180" fontId="111" fillId="0" borderId="209" xfId="0" applyNumberFormat="1" applyFont="1" applyBorder="1" applyAlignment="1" applyProtection="1">
      <alignment horizontal="center" vertical="center" shrinkToFit="1"/>
      <protection locked="0"/>
    </xf>
    <xf numFmtId="0" fontId="115" fillId="0" borderId="118" xfId="0" applyFont="1" applyBorder="1" applyAlignment="1" applyProtection="1">
      <alignment horizontal="center" vertical="center"/>
      <protection locked="0"/>
    </xf>
    <xf numFmtId="0" fontId="115" fillId="0" borderId="212" xfId="0" applyFont="1" applyBorder="1" applyAlignment="1" applyProtection="1">
      <alignment horizontal="center" vertical="center"/>
      <protection locked="0"/>
    </xf>
    <xf numFmtId="38" fontId="149" fillId="0" borderId="163" xfId="1" applyFont="1" applyFill="1" applyBorder="1" applyAlignment="1" applyProtection="1">
      <alignment horizontal="right" vertical="center" shrinkToFit="1"/>
    </xf>
    <xf numFmtId="38" fontId="146" fillId="0" borderId="14" xfId="1" applyFont="1" applyFill="1" applyBorder="1" applyAlignment="1" applyProtection="1">
      <alignment horizontal="right" vertical="center" shrinkToFit="1"/>
    </xf>
    <xf numFmtId="176" fontId="111" fillId="0" borderId="183" xfId="0" applyNumberFormat="1" applyFont="1" applyBorder="1" applyAlignment="1" applyProtection="1">
      <alignment horizontal="center" vertical="center" shrinkToFit="1"/>
      <protection locked="0"/>
    </xf>
    <xf numFmtId="0" fontId="129" fillId="0" borderId="68" xfId="0" applyFont="1" applyBorder="1" applyAlignment="1" applyProtection="1">
      <alignment horizontal="center" vertical="center" wrapText="1" shrinkToFit="1"/>
      <protection locked="0"/>
    </xf>
    <xf numFmtId="0" fontId="129" fillId="0" borderId="99" xfId="0" applyFont="1" applyBorder="1" applyAlignment="1" applyProtection="1">
      <alignment horizontal="center" vertical="center" wrapText="1" shrinkToFit="1"/>
      <protection locked="0"/>
    </xf>
    <xf numFmtId="0" fontId="129" fillId="0" borderId="177" xfId="0" applyFont="1" applyBorder="1" applyAlignment="1" applyProtection="1">
      <alignment horizontal="center" vertical="center" wrapText="1" shrinkToFit="1"/>
      <protection locked="0"/>
    </xf>
    <xf numFmtId="0" fontId="150" fillId="0" borderId="178" xfId="0" applyFont="1" applyBorder="1" applyAlignment="1">
      <alignment horizontal="center" vertical="center" shrinkToFit="1"/>
    </xf>
    <xf numFmtId="0" fontId="150" fillId="0" borderId="179" xfId="0" applyFont="1" applyBorder="1" applyAlignment="1">
      <alignment horizontal="center" vertical="center" shrinkToFit="1"/>
    </xf>
    <xf numFmtId="0" fontId="150" fillId="0" borderId="70" xfId="0" applyFont="1" applyBorder="1" applyAlignment="1">
      <alignment horizontal="center" vertical="center" shrinkToFit="1"/>
    </xf>
    <xf numFmtId="0" fontId="129" fillId="0" borderId="15" xfId="0" applyFont="1" applyBorder="1" applyAlignment="1">
      <alignment horizontal="center" vertical="center" wrapText="1"/>
    </xf>
    <xf numFmtId="0" fontId="129" fillId="0" borderId="11" xfId="0" applyFont="1" applyBorder="1" applyAlignment="1">
      <alignment horizontal="center" vertical="center"/>
    </xf>
    <xf numFmtId="0" fontId="129" fillId="0" borderId="3" xfId="0" applyFont="1" applyBorder="1" applyAlignment="1">
      <alignment horizontal="center" vertical="center"/>
    </xf>
    <xf numFmtId="178" fontId="101" fillId="0" borderId="75" xfId="0" applyNumberFormat="1" applyFont="1" applyBorder="1" applyAlignment="1">
      <alignment horizontal="center" vertical="center" wrapText="1" shrinkToFit="1"/>
    </xf>
    <xf numFmtId="178" fontId="129" fillId="0" borderId="75" xfId="0" applyNumberFormat="1" applyFont="1" applyBorder="1" applyAlignment="1">
      <alignment horizontal="center" vertical="center" wrapText="1" shrinkToFit="1"/>
    </xf>
    <xf numFmtId="178" fontId="101" fillId="0" borderId="248" xfId="0" applyNumberFormat="1" applyFont="1" applyBorder="1" applyAlignment="1">
      <alignment horizontal="center" vertical="center" wrapText="1" shrinkToFit="1"/>
    </xf>
    <xf numFmtId="178" fontId="129" fillId="0" borderId="248" xfId="0" applyNumberFormat="1" applyFont="1" applyBorder="1" applyAlignment="1">
      <alignment horizontal="center" vertical="center" wrapText="1" shrinkToFit="1"/>
    </xf>
    <xf numFmtId="38" fontId="151" fillId="0" borderId="36" xfId="2" applyFont="1" applyFill="1" applyBorder="1" applyAlignment="1" applyProtection="1">
      <alignment vertical="center" shrinkToFit="1"/>
    </xf>
    <xf numFmtId="38" fontId="151" fillId="0" borderId="35" xfId="2" applyFont="1" applyFill="1" applyBorder="1" applyAlignment="1" applyProtection="1">
      <alignment vertical="center" shrinkToFit="1"/>
    </xf>
    <xf numFmtId="38" fontId="151" fillId="0" borderId="211" xfId="2" applyFont="1" applyFill="1" applyBorder="1" applyAlignment="1" applyProtection="1">
      <alignment vertical="center" shrinkToFit="1"/>
    </xf>
    <xf numFmtId="0" fontId="120" fillId="0" borderId="54" xfId="0" applyFont="1" applyBorder="1" applyAlignment="1">
      <alignment horizontal="center" vertical="center" justifyLastLine="1"/>
    </xf>
    <xf numFmtId="0" fontId="120" fillId="0" borderId="17" xfId="0" applyFont="1" applyBorder="1" applyAlignment="1">
      <alignment horizontal="center" vertical="center" justifyLastLine="1"/>
    </xf>
    <xf numFmtId="0" fontId="120" fillId="0" borderId="55" xfId="0" applyFont="1" applyBorder="1" applyAlignment="1">
      <alignment horizontal="center" vertical="center" justifyLastLine="1"/>
    </xf>
    <xf numFmtId="0" fontId="143" fillId="0" borderId="165" xfId="0" applyFont="1" applyBorder="1" applyAlignment="1" applyProtection="1">
      <alignment horizontal="left" vertical="center" justifyLastLine="1"/>
      <protection locked="0"/>
    </xf>
    <xf numFmtId="0" fontId="143" fillId="0" borderId="2" xfId="0" applyFont="1" applyBorder="1" applyAlignment="1" applyProtection="1">
      <alignment horizontal="left" vertical="center" justifyLastLine="1"/>
      <protection locked="0"/>
    </xf>
    <xf numFmtId="0" fontId="143" fillId="0" borderId="161" xfId="0" applyFont="1" applyBorder="1" applyAlignment="1" applyProtection="1">
      <alignment horizontal="left" vertical="center" justifyLastLine="1"/>
      <protection locked="0"/>
    </xf>
    <xf numFmtId="0" fontId="143" fillId="0" borderId="167" xfId="0" applyFont="1" applyBorder="1" applyAlignment="1" applyProtection="1">
      <alignment horizontal="left" vertical="center" justifyLastLine="1"/>
      <protection locked="0"/>
    </xf>
    <xf numFmtId="0" fontId="143" fillId="0" borderId="17" xfId="0" applyFont="1" applyBorder="1" applyAlignment="1" applyProtection="1">
      <alignment horizontal="left" vertical="center" justifyLastLine="1"/>
      <protection locked="0"/>
    </xf>
    <xf numFmtId="0" fontId="143" fillId="0" borderId="55" xfId="0" applyFont="1" applyBorder="1" applyAlignment="1" applyProtection="1">
      <alignment horizontal="left" vertical="center" justifyLastLine="1"/>
      <protection locked="0"/>
    </xf>
    <xf numFmtId="180" fontId="111" fillId="0" borderId="40" xfId="0" applyNumberFormat="1" applyFont="1" applyBorder="1" applyAlignment="1" applyProtection="1">
      <alignment horizontal="center" vertical="center" shrinkToFit="1"/>
      <protection locked="0"/>
    </xf>
    <xf numFmtId="178" fontId="120" fillId="0" borderId="58" xfId="0" applyNumberFormat="1" applyFont="1" applyBorder="1" applyAlignment="1">
      <alignment horizontal="center" vertical="center" shrinkToFit="1"/>
    </xf>
    <xf numFmtId="178" fontId="120" fillId="0" borderId="56" xfId="0" applyNumberFormat="1" applyFont="1" applyBorder="1" applyAlignment="1">
      <alignment horizontal="center" vertical="center" shrinkToFit="1"/>
    </xf>
    <xf numFmtId="178" fontId="120" fillId="0" borderId="57" xfId="0" applyNumberFormat="1" applyFont="1" applyBorder="1" applyAlignment="1">
      <alignment horizontal="center" vertical="center" shrinkToFit="1"/>
    </xf>
    <xf numFmtId="178" fontId="101" fillId="0" borderId="233" xfId="0" applyNumberFormat="1" applyFont="1" applyBorder="1" applyAlignment="1">
      <alignment horizontal="center" vertical="center" wrapText="1" shrinkToFit="1"/>
    </xf>
    <xf numFmtId="178" fontId="129" fillId="0" borderId="233" xfId="0" applyNumberFormat="1" applyFont="1" applyBorder="1" applyAlignment="1">
      <alignment horizontal="center" vertical="center" wrapText="1" shrinkToFit="1"/>
    </xf>
    <xf numFmtId="178" fontId="120" fillId="0" borderId="34" xfId="0" applyNumberFormat="1" applyFont="1" applyBorder="1" applyAlignment="1">
      <alignment horizontal="center" vertical="center" shrinkToFit="1"/>
    </xf>
    <xf numFmtId="178" fontId="146" fillId="3" borderId="34" xfId="0" applyNumberFormat="1" applyFont="1" applyFill="1" applyBorder="1" applyAlignment="1">
      <alignment horizontal="center" vertical="center" textRotation="255"/>
    </xf>
    <xf numFmtId="178" fontId="146" fillId="3" borderId="38" xfId="0" applyNumberFormat="1" applyFont="1" applyFill="1" applyBorder="1" applyAlignment="1">
      <alignment horizontal="center" vertical="center" textRotation="255"/>
    </xf>
    <xf numFmtId="178" fontId="146" fillId="3" borderId="49" xfId="0" applyNumberFormat="1" applyFont="1" applyFill="1" applyBorder="1" applyAlignment="1">
      <alignment horizontal="center" vertical="center" textRotation="255"/>
    </xf>
    <xf numFmtId="178" fontId="143" fillId="0" borderId="34" xfId="0" applyNumberFormat="1" applyFont="1" applyBorder="1" applyAlignment="1">
      <alignment horizontal="center" vertical="center" textRotation="255" shrinkToFit="1"/>
    </xf>
    <xf numFmtId="178" fontId="143" fillId="0" borderId="38" xfId="0" applyNumberFormat="1" applyFont="1" applyBorder="1" applyAlignment="1">
      <alignment horizontal="center" vertical="center" textRotation="255" shrinkToFit="1"/>
    </xf>
    <xf numFmtId="178" fontId="143" fillId="0" borderId="224" xfId="0" applyNumberFormat="1" applyFont="1" applyBorder="1" applyAlignment="1">
      <alignment horizontal="center" vertical="center" textRotation="255" shrinkToFit="1"/>
    </xf>
    <xf numFmtId="178" fontId="150" fillId="0" borderId="13" xfId="0" applyNumberFormat="1" applyFont="1" applyBorder="1" applyAlignment="1">
      <alignment horizontal="center" vertical="center" shrinkToFit="1"/>
    </xf>
    <xf numFmtId="178" fontId="150" fillId="0" borderId="0" xfId="0" applyNumberFormat="1" applyFont="1" applyAlignment="1">
      <alignment horizontal="center" vertical="center" shrinkToFit="1"/>
    </xf>
    <xf numFmtId="178" fontId="150" fillId="0" borderId="12" xfId="0" applyNumberFormat="1" applyFont="1" applyBorder="1" applyAlignment="1">
      <alignment horizontal="center" vertical="center" shrinkToFit="1"/>
    </xf>
    <xf numFmtId="180" fontId="111" fillId="0" borderId="301" xfId="0" applyNumberFormat="1" applyFont="1" applyBorder="1" applyAlignment="1" applyProtection="1">
      <alignment horizontal="center" vertical="center" shrinkToFit="1"/>
      <protection locked="0"/>
    </xf>
    <xf numFmtId="180" fontId="111" fillId="0" borderId="302" xfId="0" applyNumberFormat="1" applyFont="1" applyBorder="1" applyAlignment="1" applyProtection="1">
      <alignment horizontal="center" vertical="center" shrinkToFit="1"/>
      <protection locked="0"/>
    </xf>
    <xf numFmtId="38" fontId="149" fillId="0" borderId="300" xfId="1" applyFont="1" applyFill="1" applyBorder="1" applyAlignment="1" applyProtection="1">
      <alignment horizontal="right" vertical="center" shrinkToFit="1"/>
    </xf>
    <xf numFmtId="38" fontId="146" fillId="0" borderId="293" xfId="1" applyFont="1" applyFill="1" applyBorder="1" applyAlignment="1" applyProtection="1">
      <alignment horizontal="right" vertical="center" shrinkToFit="1"/>
    </xf>
    <xf numFmtId="38" fontId="129" fillId="0" borderId="11" xfId="3" applyFont="1" applyFill="1" applyBorder="1" applyAlignment="1" applyProtection="1">
      <alignment horizontal="center"/>
    </xf>
    <xf numFmtId="38" fontId="129" fillId="0" borderId="3" xfId="3" applyFont="1" applyFill="1" applyBorder="1" applyAlignment="1" applyProtection="1">
      <alignment horizontal="center"/>
    </xf>
    <xf numFmtId="0" fontId="108" fillId="8" borderId="167" xfId="0" applyFont="1" applyFill="1" applyBorder="1" applyAlignment="1" applyProtection="1">
      <alignment horizontal="center" vertical="center"/>
      <protection locked="0"/>
    </xf>
    <xf numFmtId="0" fontId="108" fillId="8" borderId="17" xfId="0" applyFont="1" applyFill="1" applyBorder="1" applyAlignment="1" applyProtection="1">
      <alignment horizontal="center" vertical="center"/>
      <protection locked="0"/>
    </xf>
    <xf numFmtId="0" fontId="108" fillId="8" borderId="55" xfId="0" applyFont="1" applyFill="1" applyBorder="1" applyAlignment="1" applyProtection="1">
      <alignment horizontal="center" vertical="center"/>
      <protection locked="0"/>
    </xf>
    <xf numFmtId="0" fontId="108" fillId="8" borderId="181" xfId="0" applyFont="1" applyFill="1" applyBorder="1" applyAlignment="1" applyProtection="1">
      <alignment horizontal="center" vertical="center"/>
      <protection locked="0"/>
    </xf>
    <xf numFmtId="0" fontId="108" fillId="8" borderId="56" xfId="0" applyFont="1" applyFill="1" applyBorder="1" applyAlignment="1" applyProtection="1">
      <alignment horizontal="center" vertical="center"/>
      <protection locked="0"/>
    </xf>
    <xf numFmtId="0" fontId="108" fillId="8" borderId="59" xfId="0" applyFont="1" applyFill="1" applyBorder="1" applyAlignment="1" applyProtection="1">
      <alignment horizontal="center" vertical="center"/>
      <protection locked="0"/>
    </xf>
    <xf numFmtId="178" fontId="143" fillId="0" borderId="13" xfId="0" applyNumberFormat="1" applyFont="1" applyBorder="1" applyAlignment="1">
      <alignment horizontal="center" vertical="center" textRotation="255" shrinkToFit="1"/>
    </xf>
    <xf numFmtId="178" fontId="143" fillId="0" borderId="156" xfId="0" applyNumberFormat="1" applyFont="1" applyBorder="1" applyAlignment="1">
      <alignment horizontal="center" vertical="center" textRotation="255" shrinkToFit="1"/>
    </xf>
    <xf numFmtId="178" fontId="120" fillId="0" borderId="205" xfId="0" applyNumberFormat="1" applyFont="1" applyBorder="1" applyAlignment="1">
      <alignment horizontal="center" vertical="center" shrinkToFit="1"/>
    </xf>
    <xf numFmtId="178" fontId="120" fillId="0" borderId="206" xfId="0" applyNumberFormat="1" applyFont="1" applyBorder="1" applyAlignment="1">
      <alignment horizontal="center" vertical="center" shrinkToFit="1"/>
    </xf>
    <xf numFmtId="178" fontId="120" fillId="0" borderId="122" xfId="0" applyNumberFormat="1" applyFont="1" applyBorder="1" applyAlignment="1">
      <alignment horizontal="center" vertical="center" shrinkToFit="1"/>
    </xf>
    <xf numFmtId="0" fontId="113" fillId="0" borderId="230" xfId="0" applyFont="1" applyBorder="1" applyAlignment="1">
      <alignment horizontal="center" vertical="center" wrapText="1"/>
    </xf>
    <xf numFmtId="0" fontId="113" fillId="0" borderId="231" xfId="0" applyFont="1" applyBorder="1" applyAlignment="1">
      <alignment horizontal="center" vertical="center" wrapText="1"/>
    </xf>
    <xf numFmtId="0" fontId="129" fillId="0" borderId="53" xfId="0" applyFont="1" applyBorder="1" applyAlignment="1">
      <alignment horizontal="center" vertical="center" wrapText="1" shrinkToFit="1"/>
    </xf>
    <xf numFmtId="0" fontId="129" fillId="0" borderId="21" xfId="0" applyFont="1" applyBorder="1" applyAlignment="1">
      <alignment horizontal="center" vertical="center" shrinkToFit="1"/>
    </xf>
    <xf numFmtId="0" fontId="129" fillId="0" borderId="21" xfId="0" applyFont="1" applyBorder="1" applyAlignment="1">
      <alignment horizontal="center" vertical="center" wrapText="1"/>
    </xf>
    <xf numFmtId="0" fontId="129" fillId="0" borderId="21" xfId="0" applyFont="1" applyBorder="1" applyAlignment="1">
      <alignment horizontal="center" vertical="center"/>
    </xf>
    <xf numFmtId="38" fontId="116" fillId="0" borderId="15" xfId="3" applyFont="1" applyFill="1" applyBorder="1" applyAlignment="1" applyProtection="1">
      <alignment horizontal="center"/>
    </xf>
    <xf numFmtId="38" fontId="116" fillId="0" borderId="14" xfId="3" applyFont="1" applyFill="1" applyBorder="1" applyAlignment="1" applyProtection="1">
      <alignment horizontal="center"/>
    </xf>
    <xf numFmtId="180" fontId="111" fillId="0" borderId="259" xfId="0" applyNumberFormat="1" applyFont="1" applyBorder="1" applyAlignment="1" applyProtection="1">
      <alignment horizontal="center" vertical="center" shrinkToFit="1"/>
      <protection locked="0"/>
    </xf>
    <xf numFmtId="180" fontId="111" fillId="0" borderId="198" xfId="0" applyNumberFormat="1" applyFont="1" applyBorder="1" applyAlignment="1" applyProtection="1">
      <alignment horizontal="center" vertical="center" shrinkToFit="1"/>
      <protection locked="0"/>
    </xf>
    <xf numFmtId="0" fontId="143" fillId="0" borderId="166" xfId="0" applyFont="1" applyBorder="1" applyAlignment="1" applyProtection="1">
      <alignment horizontal="left" vertical="center" justifyLastLine="1"/>
      <protection locked="0"/>
    </xf>
    <xf numFmtId="0" fontId="143" fillId="0" borderId="19" xfId="0" applyFont="1" applyBorder="1" applyAlignment="1" applyProtection="1">
      <alignment horizontal="left" vertical="center" justifyLastLine="1"/>
      <protection locked="0"/>
    </xf>
    <xf numFmtId="0" fontId="143" fillId="0" borderId="20" xfId="0" applyFont="1" applyBorder="1" applyAlignment="1" applyProtection="1">
      <alignment horizontal="left" vertical="center" justifyLastLine="1"/>
      <protection locked="0"/>
    </xf>
    <xf numFmtId="176" fontId="111" fillId="0" borderId="210" xfId="0" applyNumberFormat="1" applyFont="1" applyFill="1" applyBorder="1" applyAlignment="1" applyProtection="1">
      <alignment vertical="center" shrinkToFit="1"/>
      <protection locked="0"/>
    </xf>
    <xf numFmtId="176" fontId="111" fillId="0" borderId="206" xfId="0" applyNumberFormat="1" applyFont="1" applyFill="1" applyBorder="1" applyAlignment="1" applyProtection="1">
      <alignment vertical="center" shrinkToFit="1"/>
      <protection locked="0"/>
    </xf>
    <xf numFmtId="176" fontId="111" fillId="0" borderId="122" xfId="0" applyNumberFormat="1" applyFont="1" applyFill="1" applyBorder="1" applyAlignment="1" applyProtection="1">
      <alignment vertical="center" shrinkToFit="1"/>
      <protection locked="0"/>
    </xf>
    <xf numFmtId="38" fontId="146" fillId="0" borderId="220" xfId="1" applyFont="1" applyFill="1" applyBorder="1" applyAlignment="1" applyProtection="1">
      <alignment horizontal="right" vertical="center" shrinkToFit="1"/>
    </xf>
    <xf numFmtId="38" fontId="146" fillId="0" borderId="216" xfId="1" applyFont="1" applyFill="1" applyBorder="1" applyAlignment="1" applyProtection="1">
      <alignment horizontal="right" vertical="center" shrinkToFit="1"/>
    </xf>
    <xf numFmtId="38" fontId="146" fillId="0" borderId="217" xfId="1" applyFont="1" applyFill="1" applyBorder="1" applyAlignment="1" applyProtection="1">
      <alignment horizontal="right" vertical="center" shrinkToFit="1"/>
    </xf>
    <xf numFmtId="38" fontId="146" fillId="0" borderId="162" xfId="1" applyFont="1" applyFill="1" applyBorder="1" applyAlignment="1" applyProtection="1">
      <alignment horizontal="right" vertical="center" shrinkToFit="1"/>
    </xf>
    <xf numFmtId="0" fontId="129" fillId="0" borderId="104" xfId="0" applyFont="1" applyBorder="1" applyAlignment="1">
      <alignment horizontal="center" vertical="center" wrapText="1" shrinkToFit="1"/>
    </xf>
    <xf numFmtId="0" fontId="129" fillId="0" borderId="104" xfId="0" applyFont="1" applyBorder="1" applyAlignment="1">
      <alignment horizontal="center" vertical="center" shrinkToFit="1"/>
    </xf>
    <xf numFmtId="180" fontId="111" fillId="0" borderId="304" xfId="0" applyNumberFormat="1" applyFont="1" applyBorder="1" applyAlignment="1" applyProtection="1">
      <alignment horizontal="center" vertical="center" shrinkToFit="1"/>
      <protection locked="0"/>
    </xf>
    <xf numFmtId="180" fontId="111" fillId="0" borderId="303" xfId="0" applyNumberFormat="1" applyFont="1" applyBorder="1" applyAlignment="1" applyProtection="1">
      <alignment horizontal="center" vertical="center" shrinkToFit="1"/>
      <protection locked="0"/>
    </xf>
    <xf numFmtId="0" fontId="143" fillId="0" borderId="54" xfId="0" applyFont="1" applyBorder="1" applyAlignment="1">
      <alignment horizontal="center" vertical="center"/>
    </xf>
    <xf numFmtId="0" fontId="143" fillId="0" borderId="17" xfId="0" applyFont="1" applyBorder="1" applyAlignment="1">
      <alignment horizontal="center" vertical="center"/>
    </xf>
    <xf numFmtId="178" fontId="143" fillId="0" borderId="215" xfId="0" applyNumberFormat="1" applyFont="1" applyBorder="1" applyAlignment="1">
      <alignment horizontal="center" vertical="center"/>
    </xf>
    <xf numFmtId="178" fontId="143" fillId="0" borderId="35" xfId="0" applyNumberFormat="1" applyFont="1" applyBorder="1" applyAlignment="1">
      <alignment horizontal="center" vertical="center"/>
    </xf>
    <xf numFmtId="6" fontId="143" fillId="0" borderId="0" xfId="6" applyFont="1" applyFill="1" applyBorder="1" applyAlignment="1" applyProtection="1">
      <alignment horizontal="left" vertical="center" wrapText="1"/>
    </xf>
    <xf numFmtId="0" fontId="143" fillId="0" borderId="181" xfId="0" applyFont="1" applyBorder="1" applyAlignment="1" applyProtection="1">
      <alignment horizontal="left" vertical="center" justifyLastLine="1"/>
      <protection locked="0"/>
    </xf>
    <xf numFmtId="0" fontId="143" fillId="0" borderId="56" xfId="0" applyFont="1" applyBorder="1" applyAlignment="1" applyProtection="1">
      <alignment horizontal="left" vertical="center" justifyLastLine="1"/>
      <protection locked="0"/>
    </xf>
    <xf numFmtId="0" fontId="143" fillId="0" borderId="59" xfId="0" applyFont="1" applyBorder="1" applyAlignment="1" applyProtection="1">
      <alignment horizontal="left" vertical="center" justifyLastLine="1"/>
      <protection locked="0"/>
    </xf>
    <xf numFmtId="176" fontId="111" fillId="0" borderId="240" xfId="0" applyNumberFormat="1" applyFont="1" applyFill="1" applyBorder="1" applyAlignment="1" applyProtection="1">
      <alignment vertical="center" shrinkToFit="1"/>
      <protection locked="0"/>
    </xf>
    <xf numFmtId="176" fontId="111" fillId="0" borderId="241" xfId="0" applyNumberFormat="1" applyFont="1" applyFill="1" applyBorder="1" applyAlignment="1" applyProtection="1">
      <alignment vertical="center" shrinkToFit="1"/>
      <protection locked="0"/>
    </xf>
    <xf numFmtId="176" fontId="111" fillId="0" borderId="242" xfId="0" applyNumberFormat="1" applyFont="1" applyFill="1" applyBorder="1" applyAlignment="1" applyProtection="1">
      <alignment vertical="center" shrinkToFit="1"/>
      <protection locked="0"/>
    </xf>
    <xf numFmtId="176" fontId="111" fillId="0" borderId="214" xfId="0" applyNumberFormat="1" applyFont="1" applyFill="1" applyBorder="1" applyAlignment="1" applyProtection="1">
      <alignment vertical="center" shrinkToFit="1"/>
      <protection locked="0"/>
    </xf>
    <xf numFmtId="176" fontId="111" fillId="0" borderId="186" xfId="0" applyNumberFormat="1" applyFont="1" applyFill="1" applyBorder="1" applyAlignment="1" applyProtection="1">
      <alignment vertical="center" shrinkToFit="1"/>
      <protection locked="0"/>
    </xf>
    <xf numFmtId="176" fontId="111" fillId="0" borderId="187" xfId="0" applyNumberFormat="1" applyFont="1" applyFill="1" applyBorder="1" applyAlignment="1" applyProtection="1">
      <alignment vertical="center" shrinkToFit="1"/>
      <protection locked="0"/>
    </xf>
    <xf numFmtId="176" fontId="111" fillId="0" borderId="32" xfId="0" applyNumberFormat="1" applyFont="1" applyFill="1" applyBorder="1" applyAlignment="1" applyProtection="1">
      <alignment vertical="center" shrinkToFit="1"/>
      <protection locked="0"/>
    </xf>
    <xf numFmtId="176" fontId="111" fillId="0" borderId="27" xfId="0" applyNumberFormat="1" applyFont="1" applyFill="1" applyBorder="1" applyAlignment="1" applyProtection="1">
      <alignment vertical="center" shrinkToFit="1"/>
      <protection locked="0"/>
    </xf>
    <xf numFmtId="176" fontId="111" fillId="0" borderId="28" xfId="0" applyNumberFormat="1" applyFont="1" applyFill="1" applyBorder="1" applyAlignment="1" applyProtection="1">
      <alignment vertical="center" shrinkToFit="1"/>
      <protection locked="0"/>
    </xf>
    <xf numFmtId="178" fontId="120" fillId="0" borderId="191" xfId="0" applyNumberFormat="1" applyFont="1" applyFill="1" applyBorder="1" applyAlignment="1" applyProtection="1">
      <alignment horizontal="center" vertical="center" shrinkToFit="1"/>
    </xf>
    <xf numFmtId="178" fontId="120" fillId="0" borderId="192" xfId="0" applyNumberFormat="1" applyFont="1" applyFill="1" applyBorder="1" applyAlignment="1" applyProtection="1">
      <alignment horizontal="center" vertical="center" shrinkToFit="1"/>
    </xf>
    <xf numFmtId="178" fontId="120" fillId="0" borderId="193" xfId="0" applyNumberFormat="1" applyFont="1" applyFill="1" applyBorder="1" applyAlignment="1" applyProtection="1">
      <alignment horizontal="center" vertical="center" shrinkToFit="1"/>
    </xf>
    <xf numFmtId="176" fontId="115" fillId="0" borderId="194" xfId="0" applyNumberFormat="1" applyFont="1" applyFill="1" applyBorder="1" applyAlignment="1" applyProtection="1">
      <alignment horizontal="center" vertical="center" shrinkToFit="1"/>
    </xf>
    <xf numFmtId="176" fontId="115" fillId="0" borderId="195" xfId="0" applyNumberFormat="1" applyFont="1" applyFill="1" applyBorder="1" applyAlignment="1" applyProtection="1">
      <alignment horizontal="center" vertical="center" shrinkToFit="1"/>
    </xf>
    <xf numFmtId="176" fontId="111" fillId="0" borderId="184" xfId="0" applyNumberFormat="1" applyFont="1" applyFill="1" applyBorder="1" applyAlignment="1" applyProtection="1">
      <alignment horizontal="center" vertical="center" shrinkToFit="1"/>
      <protection locked="0"/>
    </xf>
    <xf numFmtId="176" fontId="111" fillId="0" borderId="25" xfId="0" applyNumberFormat="1" applyFont="1" applyFill="1" applyBorder="1" applyAlignment="1" applyProtection="1">
      <alignment horizontal="center" vertical="center" shrinkToFit="1"/>
      <protection locked="0"/>
    </xf>
    <xf numFmtId="176" fontId="111" fillId="0" borderId="26" xfId="0" applyNumberFormat="1" applyFont="1" applyFill="1" applyBorder="1" applyAlignment="1" applyProtection="1">
      <alignment horizontal="center" vertical="center" shrinkToFit="1"/>
      <protection locked="0"/>
    </xf>
    <xf numFmtId="176" fontId="111" fillId="0" borderId="240" xfId="0" applyNumberFormat="1" applyFont="1" applyFill="1" applyBorder="1" applyAlignment="1" applyProtection="1">
      <alignment horizontal="center" vertical="center" shrinkToFit="1"/>
      <protection locked="0"/>
    </xf>
    <xf numFmtId="176" fontId="111" fillId="0" borderId="241" xfId="0" applyNumberFormat="1" applyFont="1" applyFill="1" applyBorder="1" applyAlignment="1" applyProtection="1">
      <alignment horizontal="center" vertical="center" shrinkToFit="1"/>
      <protection locked="0"/>
    </xf>
    <xf numFmtId="176" fontId="111" fillId="0" borderId="242" xfId="0" applyNumberFormat="1" applyFont="1" applyFill="1" applyBorder="1" applyAlignment="1" applyProtection="1">
      <alignment horizontal="center" vertical="center" shrinkToFit="1"/>
      <protection locked="0"/>
    </xf>
    <xf numFmtId="176" fontId="111" fillId="0" borderId="188" xfId="0" applyNumberFormat="1" applyFont="1" applyFill="1" applyBorder="1" applyAlignment="1" applyProtection="1">
      <alignment horizontal="center" vertical="center" shrinkToFit="1"/>
      <protection locked="0"/>
    </xf>
    <xf numFmtId="176" fontId="111" fillId="0" borderId="164" xfId="0" applyNumberFormat="1" applyFont="1" applyFill="1" applyBorder="1" applyAlignment="1" applyProtection="1">
      <alignment horizontal="center" vertical="center" shrinkToFit="1"/>
      <protection locked="0"/>
    </xf>
    <xf numFmtId="176" fontId="111" fillId="0" borderId="0" xfId="0" applyNumberFormat="1" applyFont="1" applyFill="1" applyBorder="1" applyAlignment="1" applyProtection="1">
      <alignment horizontal="center" vertical="center" shrinkToFit="1"/>
      <protection locked="0"/>
    </xf>
    <xf numFmtId="176" fontId="111" fillId="0" borderId="12" xfId="0" applyNumberFormat="1" applyFont="1" applyFill="1" applyBorder="1" applyAlignment="1" applyProtection="1">
      <alignment horizontal="center" vertical="center" shrinkToFit="1"/>
      <protection locked="0"/>
    </xf>
    <xf numFmtId="176" fontId="115" fillId="0" borderId="203" xfId="0" applyNumberFormat="1" applyFont="1" applyFill="1" applyBorder="1" applyAlignment="1" applyProtection="1">
      <alignment horizontal="center" vertical="center" shrinkToFit="1"/>
    </xf>
    <xf numFmtId="176" fontId="111" fillId="0" borderId="191" xfId="0" applyNumberFormat="1" applyFont="1" applyFill="1" applyBorder="1" applyAlignment="1" applyProtection="1">
      <alignment horizontal="center" vertical="center" shrinkToFit="1"/>
      <protection locked="0"/>
    </xf>
    <xf numFmtId="176" fontId="111" fillId="0" borderId="183" xfId="0" applyNumberFormat="1" applyFont="1" applyFill="1" applyBorder="1" applyAlignment="1" applyProtection="1">
      <alignment horizontal="center" vertical="center" shrinkToFit="1"/>
      <protection locked="0"/>
    </xf>
    <xf numFmtId="178" fontId="120" fillId="0" borderId="200" xfId="0" applyNumberFormat="1" applyFont="1" applyFill="1" applyBorder="1" applyAlignment="1" applyProtection="1">
      <alignment horizontal="center" vertical="center" shrinkToFit="1"/>
    </xf>
    <xf numFmtId="178" fontId="120" fillId="0" borderId="201" xfId="0" applyNumberFormat="1" applyFont="1" applyFill="1" applyBorder="1" applyAlignment="1" applyProtection="1">
      <alignment horizontal="center" vertical="center" shrinkToFit="1"/>
    </xf>
    <xf numFmtId="178" fontId="120" fillId="0" borderId="202" xfId="0" applyNumberFormat="1" applyFont="1" applyFill="1" applyBorder="1" applyAlignment="1" applyProtection="1">
      <alignment horizontal="center" vertical="center" shrinkToFit="1"/>
    </xf>
    <xf numFmtId="180" fontId="111" fillId="0" borderId="41" xfId="0" applyNumberFormat="1" applyFont="1" applyFill="1" applyBorder="1" applyAlignment="1" applyProtection="1">
      <alignment horizontal="center" vertical="center" shrinkToFit="1"/>
      <protection locked="0"/>
    </xf>
    <xf numFmtId="0" fontId="133" fillId="13" borderId="203" xfId="0" applyFont="1" applyFill="1" applyBorder="1" applyAlignment="1" applyProtection="1">
      <alignment horizontal="center" vertical="center" textRotation="255"/>
    </xf>
    <xf numFmtId="0" fontId="133" fillId="13" borderId="253" xfId="0" applyFont="1" applyFill="1" applyBorder="1" applyAlignment="1" applyProtection="1">
      <alignment horizontal="center" vertical="center" textRotation="255"/>
    </xf>
    <xf numFmtId="178" fontId="150" fillId="0" borderId="56" xfId="0" applyNumberFormat="1" applyFont="1" applyFill="1" applyBorder="1" applyAlignment="1" applyProtection="1">
      <alignment horizontal="center" vertical="center"/>
    </xf>
    <xf numFmtId="178" fontId="150" fillId="0" borderId="57" xfId="0" applyNumberFormat="1" applyFont="1" applyFill="1" applyBorder="1" applyAlignment="1" applyProtection="1">
      <alignment horizontal="center" vertical="center"/>
    </xf>
    <xf numFmtId="180" fontId="111" fillId="0" borderId="33" xfId="0" applyNumberFormat="1" applyFont="1" applyFill="1" applyBorder="1" applyAlignment="1" applyProtection="1">
      <alignment horizontal="center" vertical="center" shrinkToFit="1"/>
      <protection locked="0"/>
    </xf>
    <xf numFmtId="180" fontId="111" fillId="0" borderId="298" xfId="0" applyNumberFormat="1" applyFont="1" applyFill="1" applyBorder="1" applyAlignment="1" applyProtection="1">
      <alignment horizontal="center" vertical="center" shrinkToFit="1"/>
      <protection locked="0"/>
    </xf>
    <xf numFmtId="38" fontId="151" fillId="0" borderId="11" xfId="1" applyFont="1" applyFill="1" applyBorder="1" applyAlignment="1" applyProtection="1">
      <alignment horizontal="right" vertical="center" shrinkToFit="1"/>
    </xf>
    <xf numFmtId="38" fontId="151" fillId="0" borderId="3" xfId="1" applyFont="1" applyFill="1" applyBorder="1" applyAlignment="1" applyProtection="1">
      <alignment horizontal="right" vertical="center" shrinkToFit="1"/>
    </xf>
    <xf numFmtId="38" fontId="111" fillId="0" borderId="13" xfId="2" applyFont="1" applyFill="1" applyBorder="1" applyAlignment="1" applyProtection="1">
      <alignment horizontal="center" vertical="center" shrinkToFit="1"/>
      <protection locked="0"/>
    </xf>
    <xf numFmtId="38" fontId="111" fillId="0" borderId="299" xfId="2" applyFont="1" applyFill="1" applyBorder="1" applyAlignment="1" applyProtection="1">
      <alignment horizontal="center" vertical="center" shrinkToFit="1"/>
      <protection locked="0"/>
    </xf>
    <xf numFmtId="180" fontId="111" fillId="0" borderId="44" xfId="0" applyNumberFormat="1" applyFont="1" applyFill="1" applyBorder="1" applyAlignment="1" applyProtection="1">
      <alignment horizontal="center" vertical="center" shrinkToFit="1"/>
      <protection locked="0"/>
    </xf>
    <xf numFmtId="180" fontId="111" fillId="0" borderId="30" xfId="0" applyNumberFormat="1" applyFont="1" applyFill="1" applyBorder="1" applyAlignment="1" applyProtection="1">
      <alignment horizontal="center" vertical="center" shrinkToFit="1"/>
      <protection locked="0"/>
    </xf>
    <xf numFmtId="180" fontId="111" fillId="0" borderId="107" xfId="0" applyNumberFormat="1" applyFont="1" applyFill="1" applyBorder="1" applyAlignment="1" applyProtection="1">
      <alignment horizontal="center" vertical="center" shrinkToFit="1"/>
      <protection locked="0"/>
    </xf>
    <xf numFmtId="180" fontId="111" fillId="0" borderId="91" xfId="0" applyNumberFormat="1" applyFont="1" applyFill="1" applyBorder="1" applyAlignment="1" applyProtection="1">
      <alignment horizontal="center" vertical="center" shrinkToFit="1"/>
      <protection locked="0"/>
    </xf>
    <xf numFmtId="178" fontId="150" fillId="12" borderId="2" xfId="0" applyNumberFormat="1" applyFont="1" applyFill="1" applyBorder="1" applyAlignment="1" applyProtection="1">
      <alignment horizontal="center" vertical="center"/>
    </xf>
    <xf numFmtId="178" fontId="150" fillId="12" borderId="3" xfId="0" applyNumberFormat="1" applyFont="1" applyFill="1" applyBorder="1" applyAlignment="1" applyProtection="1">
      <alignment horizontal="center" vertical="center"/>
    </xf>
    <xf numFmtId="0" fontId="132" fillId="12" borderId="2" xfId="0" applyFont="1" applyFill="1" applyBorder="1" applyAlignment="1" applyProtection="1">
      <alignment horizontal="center" vertical="center"/>
    </xf>
    <xf numFmtId="0" fontId="132" fillId="12" borderId="3" xfId="0" applyFont="1" applyFill="1" applyBorder="1" applyAlignment="1" applyProtection="1">
      <alignment horizontal="center" vertical="center"/>
    </xf>
    <xf numFmtId="178" fontId="120" fillId="0" borderId="185" xfId="0" applyNumberFormat="1" applyFont="1" applyFill="1" applyBorder="1" applyAlignment="1" applyProtection="1">
      <alignment horizontal="center" vertical="center" shrinkToFit="1"/>
    </xf>
    <xf numFmtId="178" fontId="120" fillId="0" borderId="186" xfId="0" applyNumberFormat="1" applyFont="1" applyFill="1" applyBorder="1" applyAlignment="1" applyProtection="1">
      <alignment horizontal="center" vertical="center" shrinkToFit="1"/>
    </xf>
    <xf numFmtId="178" fontId="120" fillId="0" borderId="187" xfId="0" applyNumberFormat="1" applyFont="1" applyFill="1" applyBorder="1" applyAlignment="1" applyProtection="1">
      <alignment horizontal="center" vertical="center" shrinkToFit="1"/>
    </xf>
    <xf numFmtId="176" fontId="111" fillId="0" borderId="214" xfId="0" applyNumberFormat="1" applyFont="1" applyFill="1" applyBorder="1" applyAlignment="1" applyProtection="1">
      <alignment horizontal="center" vertical="center" shrinkToFit="1"/>
      <protection locked="0"/>
    </xf>
    <xf numFmtId="176" fontId="111" fillId="0" borderId="186" xfId="0" applyNumberFormat="1" applyFont="1" applyFill="1" applyBorder="1" applyAlignment="1" applyProtection="1">
      <alignment horizontal="center" vertical="center" shrinkToFit="1"/>
      <protection locked="0"/>
    </xf>
    <xf numFmtId="176" fontId="111" fillId="0" borderId="187" xfId="0" applyNumberFormat="1" applyFont="1" applyFill="1" applyBorder="1" applyAlignment="1" applyProtection="1">
      <alignment horizontal="center" vertical="center" shrinkToFit="1"/>
      <protection locked="0"/>
    </xf>
    <xf numFmtId="0" fontId="158" fillId="4" borderId="10" xfId="0" applyFont="1" applyFill="1" applyBorder="1" applyAlignment="1" applyProtection="1">
      <alignment horizontal="center" vertical="center"/>
    </xf>
    <xf numFmtId="0" fontId="158" fillId="4" borderId="0" xfId="0" applyFont="1" applyFill="1" applyBorder="1" applyAlignment="1" applyProtection="1">
      <alignment horizontal="center" vertical="center"/>
    </xf>
    <xf numFmtId="180" fontId="111" fillId="0" borderId="184" xfId="0" applyNumberFormat="1" applyFont="1" applyFill="1" applyBorder="1" applyAlignment="1" applyProtection="1">
      <alignment horizontal="center" vertical="center" shrinkToFit="1"/>
      <protection locked="0"/>
    </xf>
    <xf numFmtId="180" fontId="111" fillId="0" borderId="26" xfId="0" applyNumberFormat="1" applyFont="1" applyFill="1" applyBorder="1" applyAlignment="1" applyProtection="1">
      <alignment horizontal="center" vertical="center" shrinkToFit="1"/>
      <protection locked="0"/>
    </xf>
    <xf numFmtId="180" fontId="111" fillId="0" borderId="100" xfId="0" applyNumberFormat="1" applyFont="1" applyFill="1" applyBorder="1" applyAlignment="1" applyProtection="1">
      <alignment horizontal="center" vertical="center" shrinkToFit="1"/>
      <protection locked="0"/>
    </xf>
    <xf numFmtId="0" fontId="143" fillId="0" borderId="38" xfId="0" applyFont="1" applyFill="1" applyBorder="1" applyAlignment="1" applyProtection="1">
      <alignment horizontal="center" vertical="center" textRotation="255"/>
    </xf>
    <xf numFmtId="0" fontId="143" fillId="0" borderId="148" xfId="0" applyFont="1" applyFill="1" applyBorder="1" applyAlignment="1" applyProtection="1">
      <alignment horizontal="center" vertical="center" textRotation="255"/>
    </xf>
    <xf numFmtId="0" fontId="143" fillId="0" borderId="11" xfId="0" applyFont="1" applyFill="1" applyBorder="1" applyAlignment="1" applyProtection="1">
      <alignment horizontal="center" vertical="center" textRotation="255"/>
    </xf>
    <xf numFmtId="0" fontId="143" fillId="0" borderId="107" xfId="0" applyFont="1" applyFill="1" applyBorder="1" applyAlignment="1" applyProtection="1">
      <alignment horizontal="center" vertical="distributed" textRotation="255" justifyLastLine="1"/>
    </xf>
    <xf numFmtId="0" fontId="143" fillId="0" borderId="44" xfId="0" applyFont="1" applyFill="1" applyBorder="1" applyAlignment="1" applyProtection="1">
      <alignment horizontal="center" vertical="distributed" textRotation="255" justifyLastLine="1"/>
    </xf>
    <xf numFmtId="0" fontId="143" fillId="0" borderId="204" xfId="0" applyFont="1" applyFill="1" applyBorder="1" applyAlignment="1" applyProtection="1">
      <alignment horizontal="center" vertical="distributed" textRotation="255" justifyLastLine="1"/>
    </xf>
    <xf numFmtId="0" fontId="143" fillId="0" borderId="182" xfId="0" applyFont="1" applyFill="1" applyBorder="1" applyAlignment="1" applyProtection="1">
      <alignment horizontal="center" vertical="distributed" textRotation="255" justifyLastLine="1"/>
    </xf>
    <xf numFmtId="180" fontId="111" fillId="0" borderId="43" xfId="0" applyNumberFormat="1" applyFont="1" applyFill="1" applyBorder="1" applyAlignment="1" applyProtection="1">
      <alignment horizontal="center" vertical="center" shrinkToFit="1"/>
      <protection locked="0"/>
    </xf>
    <xf numFmtId="180" fontId="111" fillId="0" borderId="28" xfId="0" applyNumberFormat="1" applyFont="1" applyFill="1" applyBorder="1" applyAlignment="1" applyProtection="1">
      <alignment horizontal="center" vertical="center" shrinkToFit="1"/>
      <protection locked="0"/>
    </xf>
    <xf numFmtId="0" fontId="146" fillId="3" borderId="34" xfId="0" applyFont="1" applyFill="1" applyBorder="1" applyAlignment="1" applyProtection="1">
      <alignment horizontal="center" vertical="center" textRotation="255"/>
    </xf>
    <xf numFmtId="0" fontId="146" fillId="3" borderId="38" xfId="0" applyFont="1" applyFill="1" applyBorder="1" applyAlignment="1" applyProtection="1">
      <alignment horizontal="center" vertical="center" textRotation="255"/>
    </xf>
    <xf numFmtId="0" fontId="146" fillId="3" borderId="39" xfId="0" applyFont="1" applyFill="1" applyBorder="1" applyAlignment="1" applyProtection="1">
      <alignment horizontal="center" vertical="center" textRotation="255"/>
    </xf>
    <xf numFmtId="38" fontId="111" fillId="0" borderId="12" xfId="2" applyFont="1" applyFill="1" applyBorder="1" applyAlignment="1" applyProtection="1">
      <alignment horizontal="center" vertical="center" shrinkToFit="1"/>
      <protection locked="0"/>
    </xf>
    <xf numFmtId="38" fontId="111" fillId="0" borderId="214" xfId="2" applyFont="1" applyFill="1" applyBorder="1" applyAlignment="1" applyProtection="1">
      <alignment horizontal="center" vertical="center" shrinkToFit="1"/>
      <protection locked="0"/>
    </xf>
    <xf numFmtId="38" fontId="111" fillId="0" borderId="187" xfId="2" applyFont="1" applyFill="1" applyBorder="1" applyAlignment="1" applyProtection="1">
      <alignment horizontal="center" vertical="center" shrinkToFit="1"/>
      <protection locked="0"/>
    </xf>
    <xf numFmtId="0" fontId="150" fillId="0" borderId="309" xfId="0" applyFont="1" applyFill="1" applyBorder="1" applyAlignment="1" applyProtection="1">
      <alignment horizontal="center" vertical="center" shrinkToFit="1"/>
    </xf>
    <xf numFmtId="0" fontId="150" fillId="0" borderId="307" xfId="0" applyFont="1" applyFill="1" applyBorder="1" applyAlignment="1" applyProtection="1">
      <alignment horizontal="center" vertical="center" shrinkToFit="1"/>
    </xf>
    <xf numFmtId="0" fontId="150" fillId="0" borderId="294" xfId="0" applyFont="1" applyFill="1" applyBorder="1" applyAlignment="1" applyProtection="1">
      <alignment horizontal="center" vertical="center" shrinkToFit="1"/>
    </xf>
    <xf numFmtId="0" fontId="143" fillId="0" borderId="123" xfId="0" applyFont="1" applyFill="1" applyBorder="1" applyAlignment="1" applyProtection="1">
      <alignment horizontal="center" vertical="distributed" textRotation="255" justifyLastLine="1"/>
    </xf>
    <xf numFmtId="0" fontId="143" fillId="0" borderId="218" xfId="0" applyFont="1" applyFill="1" applyBorder="1" applyAlignment="1" applyProtection="1">
      <alignment horizontal="center" vertical="distributed" textRotation="255" justifyLastLine="1"/>
    </xf>
    <xf numFmtId="38" fontId="111" fillId="0" borderId="186" xfId="2" applyFont="1" applyFill="1" applyBorder="1" applyAlignment="1" applyProtection="1">
      <alignment horizontal="center" vertical="center" shrinkToFit="1"/>
      <protection locked="0"/>
    </xf>
    <xf numFmtId="38" fontId="151" fillId="0" borderId="175" xfId="1" applyFont="1" applyFill="1" applyBorder="1" applyAlignment="1" applyProtection="1">
      <alignment horizontal="right" vertical="center" shrinkToFit="1"/>
    </xf>
    <xf numFmtId="38" fontId="151" fillId="0" borderId="39" xfId="1" applyFont="1" applyFill="1" applyBorder="1" applyAlignment="1" applyProtection="1">
      <alignment horizontal="right" vertical="center" shrinkToFit="1"/>
    </xf>
    <xf numFmtId="180" fontId="111" fillId="0" borderId="190" xfId="0" applyNumberFormat="1" applyFont="1" applyFill="1" applyBorder="1" applyAlignment="1" applyProtection="1">
      <alignment horizontal="center" vertical="center" shrinkToFit="1"/>
      <protection locked="0"/>
    </xf>
    <xf numFmtId="180" fontId="111" fillId="0" borderId="119" xfId="0" applyNumberFormat="1" applyFont="1" applyFill="1" applyBorder="1" applyAlignment="1" applyProtection="1">
      <alignment horizontal="center" vertical="center" shrinkToFit="1"/>
      <protection locked="0"/>
    </xf>
    <xf numFmtId="180" fontId="111" fillId="0" borderId="209" xfId="0" applyNumberFormat="1" applyFont="1" applyFill="1" applyBorder="1" applyAlignment="1" applyProtection="1">
      <alignment horizontal="center" vertical="center" shrinkToFit="1"/>
      <protection locked="0"/>
    </xf>
    <xf numFmtId="178" fontId="120" fillId="0" borderId="183" xfId="0" applyNumberFormat="1" applyFont="1" applyFill="1" applyBorder="1" applyAlignment="1" applyProtection="1">
      <alignment horizontal="center" vertical="center" shrinkToFit="1"/>
      <protection locked="0"/>
    </xf>
    <xf numFmtId="178" fontId="120" fillId="0" borderId="27" xfId="0" applyNumberFormat="1" applyFont="1" applyFill="1" applyBorder="1" applyAlignment="1" applyProtection="1">
      <alignment horizontal="center" vertical="center" shrinkToFit="1"/>
      <protection locked="0"/>
    </xf>
    <xf numFmtId="178" fontId="120" fillId="0" borderId="28" xfId="0" applyNumberFormat="1" applyFont="1" applyFill="1" applyBorder="1" applyAlignment="1" applyProtection="1">
      <alignment horizontal="center" vertical="center" shrinkToFit="1"/>
      <protection locked="0"/>
    </xf>
    <xf numFmtId="0" fontId="115" fillId="0" borderId="118" xfId="0" applyFont="1" applyFill="1" applyBorder="1" applyAlignment="1" applyProtection="1">
      <alignment horizontal="center" vertical="center"/>
      <protection locked="0"/>
    </xf>
    <xf numFmtId="176" fontId="111" fillId="0" borderId="200" xfId="0" applyNumberFormat="1" applyFont="1" applyFill="1" applyBorder="1" applyAlignment="1" applyProtection="1">
      <alignment horizontal="center" vertical="center" shrinkToFit="1"/>
      <protection locked="0"/>
    </xf>
    <xf numFmtId="176" fontId="115" fillId="0" borderId="208" xfId="0" applyNumberFormat="1" applyFont="1" applyFill="1" applyBorder="1" applyAlignment="1" applyProtection="1">
      <alignment horizontal="center" vertical="center" shrinkToFit="1"/>
    </xf>
    <xf numFmtId="0" fontId="129" fillId="0" borderId="14" xfId="0" applyFont="1" applyFill="1" applyBorder="1" applyAlignment="1" applyProtection="1">
      <alignment horizontal="center" vertical="center"/>
    </xf>
    <xf numFmtId="0" fontId="129" fillId="0" borderId="34" xfId="0" applyFont="1" applyFill="1" applyBorder="1" applyAlignment="1" applyProtection="1">
      <alignment horizontal="center" vertical="center"/>
    </xf>
    <xf numFmtId="178" fontId="120" fillId="0" borderId="205" xfId="0" applyNumberFormat="1" applyFont="1" applyFill="1" applyBorder="1" applyAlignment="1" applyProtection="1">
      <alignment horizontal="center" vertical="center" shrinkToFit="1"/>
    </xf>
    <xf numFmtId="178" fontId="120" fillId="0" borderId="206" xfId="0" applyNumberFormat="1" applyFont="1" applyFill="1" applyBorder="1" applyAlignment="1" applyProtection="1">
      <alignment horizontal="center" vertical="center" shrinkToFit="1"/>
    </xf>
    <xf numFmtId="178" fontId="120" fillId="0" borderId="122" xfId="0" applyNumberFormat="1" applyFont="1" applyFill="1" applyBorder="1" applyAlignment="1" applyProtection="1">
      <alignment horizontal="center" vertical="center" shrinkToFit="1"/>
    </xf>
    <xf numFmtId="178" fontId="143" fillId="0" borderId="34" xfId="0" applyNumberFormat="1" applyFont="1" applyFill="1" applyBorder="1" applyAlignment="1" applyProtection="1">
      <alignment horizontal="center" vertical="center" textRotation="255" shrinkToFit="1"/>
    </xf>
    <xf numFmtId="178" fontId="143" fillId="0" borderId="38" xfId="0" applyNumberFormat="1" applyFont="1" applyFill="1" applyBorder="1" applyAlignment="1" applyProtection="1">
      <alignment horizontal="center" vertical="center" textRotation="255" shrinkToFit="1"/>
    </xf>
    <xf numFmtId="178" fontId="143" fillId="0" borderId="224" xfId="0" applyNumberFormat="1" applyFont="1" applyFill="1" applyBorder="1" applyAlignment="1" applyProtection="1">
      <alignment horizontal="center" vertical="center" textRotation="255" shrinkToFit="1"/>
    </xf>
    <xf numFmtId="178" fontId="143" fillId="0" borderId="13" xfId="0" applyNumberFormat="1" applyFont="1" applyFill="1" applyBorder="1" applyAlignment="1" applyProtection="1">
      <alignment horizontal="center" vertical="center" textRotation="255" shrinkToFit="1"/>
    </xf>
    <xf numFmtId="178" fontId="143" fillId="0" borderId="156" xfId="0" applyNumberFormat="1" applyFont="1" applyFill="1" applyBorder="1" applyAlignment="1" applyProtection="1">
      <alignment horizontal="center" vertical="center" textRotation="255" shrinkToFit="1"/>
    </xf>
    <xf numFmtId="180" fontId="111" fillId="0" borderId="304" xfId="0" applyNumberFormat="1" applyFont="1" applyFill="1" applyBorder="1" applyAlignment="1" applyProtection="1">
      <alignment horizontal="center" vertical="center" shrinkToFit="1"/>
      <protection locked="0"/>
    </xf>
    <xf numFmtId="180" fontId="111" fillId="0" borderId="303" xfId="0" applyNumberFormat="1" applyFont="1" applyFill="1" applyBorder="1" applyAlignment="1" applyProtection="1">
      <alignment horizontal="center" vertical="center" shrinkToFit="1"/>
      <protection locked="0"/>
    </xf>
    <xf numFmtId="180" fontId="111" fillId="0" borderId="301" xfId="0" applyNumberFormat="1" applyFont="1" applyFill="1" applyBorder="1" applyAlignment="1" applyProtection="1">
      <alignment horizontal="center" vertical="center" shrinkToFit="1"/>
      <protection locked="0"/>
    </xf>
    <xf numFmtId="180" fontId="111" fillId="0" borderId="217" xfId="0" applyNumberFormat="1" applyFont="1" applyFill="1" applyBorder="1" applyAlignment="1" applyProtection="1">
      <alignment horizontal="center" vertical="center" shrinkToFit="1"/>
      <protection locked="0"/>
    </xf>
    <xf numFmtId="180" fontId="111" fillId="0" borderId="259" xfId="0" applyNumberFormat="1" applyFont="1" applyFill="1" applyBorder="1" applyAlignment="1" applyProtection="1">
      <alignment horizontal="center" vertical="center" shrinkToFit="1"/>
      <protection locked="0"/>
    </xf>
    <xf numFmtId="180" fontId="111" fillId="0" borderId="198" xfId="0" applyNumberFormat="1" applyFont="1" applyFill="1" applyBorder="1" applyAlignment="1" applyProtection="1">
      <alignment horizontal="center" vertical="center" shrinkToFit="1"/>
      <protection locked="0"/>
    </xf>
    <xf numFmtId="180" fontId="111" fillId="0" borderId="295" xfId="0" applyNumberFormat="1" applyFont="1" applyFill="1" applyBorder="1" applyAlignment="1" applyProtection="1">
      <alignment horizontal="center" vertical="center" shrinkToFit="1"/>
      <protection locked="0"/>
    </xf>
    <xf numFmtId="178" fontId="120" fillId="0" borderId="184" xfId="0" applyNumberFormat="1" applyFont="1" applyFill="1" applyBorder="1" applyAlignment="1" applyProtection="1">
      <alignment horizontal="center" vertical="center" shrinkToFit="1"/>
    </xf>
    <xf numFmtId="178" fontId="120" fillId="0" borderId="25" xfId="0" applyNumberFormat="1" applyFont="1" applyFill="1" applyBorder="1" applyAlignment="1" applyProtection="1">
      <alignment horizontal="center" vertical="center" shrinkToFit="1"/>
    </xf>
    <xf numFmtId="178" fontId="120" fillId="0" borderId="26" xfId="0" applyNumberFormat="1" applyFont="1" applyFill="1" applyBorder="1" applyAlignment="1" applyProtection="1">
      <alignment horizontal="center" vertical="center" shrinkToFit="1"/>
    </xf>
    <xf numFmtId="180" fontId="111" fillId="0" borderId="29" xfId="0" applyNumberFormat="1" applyFont="1" applyFill="1" applyBorder="1" applyAlignment="1" applyProtection="1">
      <alignment horizontal="center" vertical="center" shrinkToFit="1"/>
      <protection locked="0"/>
    </xf>
    <xf numFmtId="0" fontId="143" fillId="0" borderId="15" xfId="0" applyFont="1" applyFill="1" applyBorder="1" applyAlignment="1" applyProtection="1">
      <alignment horizontal="center" vertical="center" textRotation="255" shrinkToFit="1"/>
    </xf>
    <xf numFmtId="0" fontId="143" fillId="0" borderId="13" xfId="0" applyFont="1" applyFill="1" applyBorder="1" applyAlignment="1" applyProtection="1">
      <alignment horizontal="center" vertical="center" textRotation="255" shrinkToFit="1"/>
    </xf>
    <xf numFmtId="0" fontId="143" fillId="0" borderId="178" xfId="0" applyFont="1" applyFill="1" applyBorder="1" applyAlignment="1" applyProtection="1">
      <alignment horizontal="center" vertical="center" textRotation="255" shrinkToFit="1"/>
    </xf>
    <xf numFmtId="0" fontId="129" fillId="0" borderId="21" xfId="0" applyFont="1" applyFill="1" applyBorder="1" applyAlignment="1" applyProtection="1">
      <alignment horizontal="center" vertical="center" wrapText="1"/>
    </xf>
    <xf numFmtId="0" fontId="129" fillId="0" borderId="21" xfId="0" applyFont="1" applyFill="1" applyBorder="1" applyAlignment="1" applyProtection="1">
      <alignment horizontal="center" vertical="center"/>
    </xf>
    <xf numFmtId="178" fontId="101" fillId="0" borderId="75" xfId="0" applyNumberFormat="1" applyFont="1" applyFill="1" applyBorder="1" applyAlignment="1" applyProtection="1">
      <alignment horizontal="center" vertical="center" wrapText="1" shrinkToFit="1"/>
    </xf>
    <xf numFmtId="178" fontId="129" fillId="0" borderId="75" xfId="0" applyNumberFormat="1" applyFont="1" applyFill="1" applyBorder="1" applyAlignment="1" applyProtection="1">
      <alignment horizontal="center" vertical="center" wrapText="1" shrinkToFit="1"/>
    </xf>
    <xf numFmtId="176" fontId="111" fillId="0" borderId="205" xfId="0" applyNumberFormat="1" applyFont="1" applyFill="1" applyBorder="1" applyAlignment="1" applyProtection="1">
      <alignment horizontal="center" vertical="center" shrinkToFit="1"/>
      <protection locked="0"/>
    </xf>
    <xf numFmtId="0" fontId="115" fillId="0" borderId="213" xfId="0" applyFont="1" applyFill="1" applyBorder="1" applyAlignment="1" applyProtection="1">
      <alignment horizontal="center" vertical="center"/>
      <protection locked="0"/>
    </xf>
    <xf numFmtId="0" fontId="129" fillId="0" borderId="15" xfId="0" applyFont="1" applyFill="1" applyBorder="1" applyAlignment="1" applyProtection="1">
      <alignment horizontal="center" vertical="center" wrapText="1"/>
    </xf>
    <xf numFmtId="0" fontId="129" fillId="0" borderId="10" xfId="0" applyFont="1" applyFill="1" applyBorder="1" applyAlignment="1" applyProtection="1">
      <alignment horizontal="center" vertical="center"/>
    </xf>
    <xf numFmtId="0" fontId="129" fillId="0" borderId="11" xfId="0" applyFont="1" applyFill="1" applyBorder="1" applyAlignment="1" applyProtection="1">
      <alignment horizontal="center" vertical="center"/>
    </xf>
    <xf numFmtId="0" fontId="129" fillId="0" borderId="2" xfId="0" applyFont="1" applyFill="1" applyBorder="1" applyAlignment="1" applyProtection="1">
      <alignment horizontal="center" vertical="center"/>
    </xf>
    <xf numFmtId="0" fontId="129" fillId="0" borderId="3" xfId="0" applyFont="1" applyFill="1" applyBorder="1" applyAlignment="1" applyProtection="1">
      <alignment horizontal="center" vertical="center"/>
    </xf>
    <xf numFmtId="0" fontId="113" fillId="0" borderId="230" xfId="0" applyFont="1" applyFill="1" applyBorder="1" applyAlignment="1" applyProtection="1">
      <alignment horizontal="center" vertical="center" wrapText="1"/>
    </xf>
    <xf numFmtId="0" fontId="113" fillId="0" borderId="231" xfId="0" applyFont="1" applyFill="1" applyBorder="1" applyAlignment="1" applyProtection="1">
      <alignment horizontal="center" vertical="center" wrapText="1"/>
    </xf>
    <xf numFmtId="0" fontId="129" fillId="0" borderId="53" xfId="0" applyFont="1" applyFill="1" applyBorder="1" applyAlignment="1" applyProtection="1">
      <alignment horizontal="center" vertical="center" wrapText="1" shrinkToFit="1"/>
    </xf>
    <xf numFmtId="0" fontId="129" fillId="0" borderId="21" xfId="0" applyFont="1" applyFill="1" applyBorder="1" applyAlignment="1" applyProtection="1">
      <alignment horizontal="center" vertical="center" shrinkToFit="1"/>
    </xf>
    <xf numFmtId="0" fontId="115" fillId="0" borderId="212" xfId="0" applyFont="1" applyFill="1" applyBorder="1" applyAlignment="1" applyProtection="1">
      <alignment horizontal="center" vertical="center"/>
      <protection locked="0"/>
    </xf>
    <xf numFmtId="178" fontId="101" fillId="0" borderId="248" xfId="0" applyNumberFormat="1" applyFont="1" applyFill="1" applyBorder="1" applyAlignment="1" applyProtection="1">
      <alignment horizontal="center" vertical="center" wrapText="1" shrinkToFit="1"/>
    </xf>
    <xf numFmtId="178" fontId="129" fillId="0" borderId="248" xfId="0" applyNumberFormat="1" applyFont="1" applyFill="1" applyBorder="1" applyAlignment="1" applyProtection="1">
      <alignment horizontal="center" vertical="center" wrapText="1" shrinkToFit="1"/>
    </xf>
    <xf numFmtId="178" fontId="150" fillId="0" borderId="13" xfId="0" applyNumberFormat="1" applyFont="1" applyFill="1" applyBorder="1" applyAlignment="1" applyProtection="1">
      <alignment horizontal="center" vertical="center" shrinkToFit="1"/>
    </xf>
    <xf numFmtId="178" fontId="150" fillId="0" borderId="0" xfId="0" applyNumberFormat="1" applyFont="1" applyFill="1" applyBorder="1" applyAlignment="1" applyProtection="1">
      <alignment horizontal="center" vertical="center" shrinkToFit="1"/>
    </xf>
    <xf numFmtId="178" fontId="150" fillId="0" borderId="12" xfId="0" applyNumberFormat="1" applyFont="1" applyFill="1" applyBorder="1" applyAlignment="1" applyProtection="1">
      <alignment horizontal="center" vertical="center" shrinkToFit="1"/>
    </xf>
    <xf numFmtId="6" fontId="135" fillId="0" borderId="58" xfId="6" applyFont="1" applyFill="1" applyBorder="1" applyAlignment="1" applyProtection="1">
      <alignment horizontal="center" vertical="center" wrapText="1"/>
      <protection locked="0"/>
    </xf>
    <xf numFmtId="6" fontId="135" fillId="0" borderId="59" xfId="6" applyFont="1" applyFill="1" applyBorder="1" applyAlignment="1" applyProtection="1">
      <alignment horizontal="center" vertical="center" wrapText="1"/>
      <protection locked="0"/>
    </xf>
    <xf numFmtId="0" fontId="181" fillId="0" borderId="15" xfId="0" applyFont="1" applyFill="1" applyBorder="1" applyAlignment="1" applyProtection="1">
      <alignment horizontal="center" vertical="center" shrinkToFit="1"/>
    </xf>
    <xf numFmtId="0" fontId="181" fillId="0" borderId="10" xfId="0" applyFont="1" applyFill="1" applyBorder="1" applyAlignment="1" applyProtection="1">
      <alignment horizontal="center" vertical="center" shrinkToFit="1"/>
    </xf>
    <xf numFmtId="0" fontId="120" fillId="0" borderId="58" xfId="0" applyFont="1" applyFill="1" applyBorder="1" applyAlignment="1" applyProtection="1">
      <alignment horizontal="center" vertical="center"/>
    </xf>
    <xf numFmtId="0" fontId="120" fillId="0" borderId="56" xfId="0" applyFont="1" applyFill="1" applyBorder="1" applyAlignment="1" applyProtection="1">
      <alignment horizontal="center" vertical="center"/>
    </xf>
    <xf numFmtId="0" fontId="120" fillId="0" borderId="57" xfId="0" applyFont="1" applyFill="1" applyBorder="1" applyAlignment="1" applyProtection="1">
      <alignment horizontal="center" vertical="center"/>
    </xf>
    <xf numFmtId="0" fontId="124" fillId="0" borderId="2" xfId="0" applyFont="1" applyBorder="1" applyProtection="1">
      <alignment vertical="center"/>
    </xf>
    <xf numFmtId="0" fontId="124" fillId="0" borderId="3" xfId="0" applyFont="1" applyBorder="1" applyProtection="1">
      <alignment vertical="center"/>
    </xf>
    <xf numFmtId="0" fontId="124" fillId="0" borderId="0" xfId="0" applyFont="1" applyBorder="1" applyProtection="1">
      <alignment vertical="center"/>
    </xf>
    <xf numFmtId="0" fontId="124" fillId="0" borderId="12" xfId="0" applyFont="1" applyBorder="1" applyProtection="1">
      <alignment vertical="center"/>
    </xf>
    <xf numFmtId="0" fontId="124" fillId="0" borderId="10" xfId="0" applyFont="1" applyBorder="1" applyProtection="1">
      <alignment vertical="center"/>
    </xf>
    <xf numFmtId="0" fontId="124" fillId="0" borderId="14" xfId="0" applyFont="1" applyBorder="1" applyProtection="1">
      <alignment vertical="center"/>
    </xf>
    <xf numFmtId="0" fontId="124" fillId="0" borderId="17" xfId="0" applyFont="1" applyBorder="1" applyProtection="1">
      <alignment vertical="center"/>
    </xf>
    <xf numFmtId="0" fontId="124" fillId="0" borderId="53" xfId="0" applyFont="1" applyBorder="1" applyProtection="1">
      <alignment vertical="center"/>
    </xf>
    <xf numFmtId="0" fontId="124" fillId="0" borderId="181" xfId="0" applyFont="1" applyBorder="1" applyProtection="1">
      <alignment vertical="center"/>
    </xf>
    <xf numFmtId="0" fontId="124" fillId="0" borderId="57" xfId="0" applyFont="1" applyBorder="1" applyProtection="1">
      <alignment vertical="center"/>
    </xf>
    <xf numFmtId="0" fontId="143" fillId="0" borderId="166" xfId="0" applyFont="1" applyFill="1" applyBorder="1" applyAlignment="1" applyProtection="1">
      <alignment vertical="center" justifyLastLine="1"/>
      <protection locked="0"/>
    </xf>
    <xf numFmtId="0" fontId="143" fillId="0" borderId="19" xfId="0" applyFont="1" applyFill="1" applyBorder="1" applyAlignment="1" applyProtection="1">
      <alignment vertical="center" justifyLastLine="1"/>
      <protection locked="0"/>
    </xf>
    <xf numFmtId="0" fontId="143" fillId="0" borderId="317" xfId="0" applyFont="1" applyFill="1" applyBorder="1" applyAlignment="1" applyProtection="1">
      <alignment vertical="center" justifyLastLine="1"/>
      <protection locked="0"/>
    </xf>
    <xf numFmtId="0" fontId="143" fillId="0" borderId="167" xfId="0" applyFont="1" applyFill="1" applyBorder="1" applyAlignment="1" applyProtection="1">
      <alignment vertical="center" justifyLastLine="1"/>
      <protection locked="0"/>
    </xf>
    <xf numFmtId="0" fontId="143" fillId="0" borderId="17" xfId="0" applyFont="1" applyFill="1" applyBorder="1" applyAlignment="1" applyProtection="1">
      <alignment vertical="center" justifyLastLine="1"/>
      <protection locked="0"/>
    </xf>
    <xf numFmtId="0" fontId="143" fillId="0" borderId="53" xfId="0" applyFont="1" applyFill="1" applyBorder="1" applyAlignment="1" applyProtection="1">
      <alignment vertical="center" justifyLastLine="1"/>
      <protection locked="0"/>
    </xf>
    <xf numFmtId="0" fontId="120" fillId="0" borderId="54" xfId="0" applyFont="1" applyFill="1" applyBorder="1" applyAlignment="1" applyProtection="1">
      <alignment horizontal="center" vertical="center" justifyLastLine="1"/>
    </xf>
    <xf numFmtId="0" fontId="120" fillId="0" borderId="17" xfId="0" applyFont="1" applyFill="1" applyBorder="1" applyAlignment="1" applyProtection="1">
      <alignment horizontal="center" vertical="center" justifyLastLine="1"/>
    </xf>
    <xf numFmtId="0" fontId="120" fillId="0" borderId="55" xfId="0" applyFont="1" applyFill="1" applyBorder="1" applyAlignment="1" applyProtection="1">
      <alignment horizontal="center" vertical="center" justifyLastLine="1"/>
    </xf>
    <xf numFmtId="178" fontId="146" fillId="3" borderId="34" xfId="0" applyNumberFormat="1" applyFont="1" applyFill="1" applyBorder="1" applyAlignment="1" applyProtection="1">
      <alignment horizontal="center" vertical="center" textRotation="255"/>
    </xf>
    <xf numFmtId="178" fontId="146" fillId="3" borderId="38" xfId="0" applyNumberFormat="1" applyFont="1" applyFill="1" applyBorder="1" applyAlignment="1" applyProtection="1">
      <alignment horizontal="center" vertical="center" textRotation="255"/>
    </xf>
    <xf numFmtId="178" fontId="146" fillId="3" borderId="49" xfId="0" applyNumberFormat="1" applyFont="1" applyFill="1" applyBorder="1" applyAlignment="1" applyProtection="1">
      <alignment horizontal="center" vertical="center" textRotation="255"/>
    </xf>
    <xf numFmtId="178" fontId="120" fillId="0" borderId="54" xfId="0" applyNumberFormat="1" applyFont="1" applyBorder="1" applyAlignment="1">
      <alignment horizontal="center" vertical="center" wrapText="1" shrinkToFit="1"/>
    </xf>
    <xf numFmtId="178" fontId="120" fillId="0" borderId="17" xfId="0" applyNumberFormat="1" applyFont="1" applyBorder="1" applyAlignment="1">
      <alignment horizontal="center" vertical="center" shrinkToFit="1"/>
    </xf>
    <xf numFmtId="178" fontId="120" fillId="0" borderId="53" xfId="0" applyNumberFormat="1" applyFont="1" applyBorder="1" applyAlignment="1">
      <alignment horizontal="center" vertical="center" shrinkToFit="1"/>
    </xf>
    <xf numFmtId="178" fontId="120" fillId="0" borderId="17" xfId="0" applyNumberFormat="1" applyFont="1" applyBorder="1" applyAlignment="1">
      <alignment horizontal="center" vertical="center" wrapText="1" shrinkToFit="1"/>
    </xf>
    <xf numFmtId="178" fontId="120" fillId="0" borderId="53" xfId="0" applyNumberFormat="1" applyFont="1" applyBorder="1" applyAlignment="1">
      <alignment horizontal="center" vertical="center" wrapText="1" shrinkToFit="1"/>
    </xf>
    <xf numFmtId="178" fontId="101" fillId="0" borderId="75" xfId="0" applyNumberFormat="1" applyFont="1" applyBorder="1" applyAlignment="1">
      <alignment horizontal="center" vertical="center" shrinkToFit="1"/>
    </xf>
    <xf numFmtId="178" fontId="129" fillId="0" borderId="75" xfId="0" applyNumberFormat="1" applyFont="1" applyBorder="1" applyAlignment="1">
      <alignment horizontal="center" vertical="center" shrinkToFit="1"/>
    </xf>
    <xf numFmtId="0" fontId="143" fillId="0" borderId="0" xfId="0" applyFont="1" applyAlignment="1">
      <alignment horizontal="left" vertical="center" wrapText="1"/>
    </xf>
    <xf numFmtId="0" fontId="120" fillId="0" borderId="58" xfId="0" applyFont="1" applyBorder="1" applyAlignment="1">
      <alignment horizontal="center" vertical="center"/>
    </xf>
    <xf numFmtId="0" fontId="120" fillId="0" borderId="57" xfId="0" applyFont="1" applyBorder="1" applyAlignment="1">
      <alignment horizontal="center" vertical="center"/>
    </xf>
    <xf numFmtId="0" fontId="120" fillId="0" borderId="15" xfId="0" applyFont="1" applyBorder="1" applyAlignment="1">
      <alignment horizontal="center" vertical="center" textRotation="255" wrapText="1" shrinkToFit="1"/>
    </xf>
    <xf numFmtId="0" fontId="120" fillId="0" borderId="14" xfId="0" applyFont="1" applyBorder="1" applyAlignment="1">
      <alignment horizontal="center" vertical="center" textRotation="255" wrapText="1" shrinkToFit="1"/>
    </xf>
    <xf numFmtId="0" fontId="120" fillId="0" borderId="13" xfId="0" applyFont="1" applyBorder="1" applyAlignment="1">
      <alignment horizontal="center" vertical="center" textRotation="255" wrapText="1" shrinkToFit="1"/>
    </xf>
    <xf numFmtId="0" fontId="120" fillId="0" borderId="12" xfId="0" applyFont="1" applyBorder="1" applyAlignment="1">
      <alignment horizontal="center" vertical="center" textRotation="255" wrapText="1" shrinkToFit="1"/>
    </xf>
    <xf numFmtId="0" fontId="120" fillId="0" borderId="11" xfId="0" applyFont="1" applyBorder="1" applyAlignment="1">
      <alignment horizontal="center" vertical="center" textRotation="255" wrapText="1" shrinkToFit="1"/>
    </xf>
    <xf numFmtId="0" fontId="120" fillId="0" borderId="3" xfId="0" applyFont="1" applyBorder="1" applyAlignment="1">
      <alignment horizontal="center" vertical="center" textRotation="255" wrapText="1" shrinkToFit="1"/>
    </xf>
    <xf numFmtId="0" fontId="26" fillId="0" borderId="2" xfId="0" applyFont="1" applyFill="1" applyBorder="1" applyAlignment="1" applyProtection="1">
      <alignment horizontal="center" vertical="center"/>
    </xf>
    <xf numFmtId="0" fontId="181" fillId="0" borderId="15" xfId="0" applyFont="1" applyBorder="1" applyAlignment="1">
      <alignment horizontal="center" vertical="center" wrapText="1"/>
    </xf>
    <xf numFmtId="0" fontId="181" fillId="0" borderId="10" xfId="0" applyFont="1" applyBorder="1" applyAlignment="1">
      <alignment horizontal="center" vertical="center"/>
    </xf>
    <xf numFmtId="0" fontId="181" fillId="0" borderId="14" xfId="0" applyFont="1" applyBorder="1" applyAlignment="1">
      <alignment horizontal="center" vertical="center"/>
    </xf>
    <xf numFmtId="178" fontId="143" fillId="0" borderId="215" xfId="0" applyNumberFormat="1" applyFont="1" applyFill="1" applyBorder="1" applyAlignment="1" applyProtection="1">
      <alignment horizontal="center" vertical="center"/>
    </xf>
    <xf numFmtId="178" fontId="143" fillId="0" borderId="35" xfId="0" applyNumberFormat="1" applyFont="1" applyFill="1" applyBorder="1" applyAlignment="1" applyProtection="1">
      <alignment horizontal="center" vertical="center"/>
    </xf>
    <xf numFmtId="0" fontId="143" fillId="0" borderId="0" xfId="0" applyFont="1" applyFill="1" applyBorder="1" applyAlignment="1" applyProtection="1">
      <alignment horizontal="left" vertical="center" wrapText="1"/>
    </xf>
    <xf numFmtId="0" fontId="120" fillId="0" borderId="15" xfId="0" applyFont="1" applyFill="1" applyBorder="1" applyAlignment="1" applyProtection="1">
      <alignment horizontal="center" vertical="center" textRotation="255" wrapText="1" shrinkToFit="1"/>
    </xf>
    <xf numFmtId="0" fontId="120" fillId="0" borderId="14" xfId="0" applyFont="1" applyFill="1" applyBorder="1" applyAlignment="1" applyProtection="1">
      <alignment horizontal="center" vertical="center" textRotation="255" wrapText="1" shrinkToFit="1"/>
    </xf>
    <xf numFmtId="0" fontId="120" fillId="0" borderId="13" xfId="0" applyFont="1" applyFill="1" applyBorder="1" applyAlignment="1" applyProtection="1">
      <alignment horizontal="center" vertical="center" textRotation="255" wrapText="1" shrinkToFit="1"/>
    </xf>
    <xf numFmtId="0" fontId="120" fillId="0" borderId="12" xfId="0" applyFont="1" applyFill="1" applyBorder="1" applyAlignment="1" applyProtection="1">
      <alignment horizontal="center" vertical="center" textRotation="255" wrapText="1" shrinkToFit="1"/>
    </xf>
    <xf numFmtId="0" fontId="120" fillId="0" borderId="11" xfId="0" applyFont="1" applyFill="1" applyBorder="1" applyAlignment="1" applyProtection="1">
      <alignment horizontal="center" vertical="center" textRotation="255" wrapText="1" shrinkToFit="1"/>
    </xf>
    <xf numFmtId="0" fontId="120" fillId="0" borderId="3" xfId="0" applyFont="1" applyFill="1" applyBorder="1" applyAlignment="1" applyProtection="1">
      <alignment horizontal="center" vertical="center" textRotation="255" wrapText="1" shrinkToFit="1"/>
    </xf>
    <xf numFmtId="0" fontId="108" fillId="8" borderId="316" xfId="0" applyFont="1" applyFill="1" applyBorder="1" applyAlignment="1" applyProtection="1">
      <alignment horizontal="center" vertical="center" wrapText="1"/>
      <protection locked="0"/>
    </xf>
    <xf numFmtId="0" fontId="108" fillId="8" borderId="20" xfId="0" applyFont="1" applyFill="1" applyBorder="1" applyAlignment="1" applyProtection="1">
      <alignment horizontal="center" vertical="center" wrapText="1"/>
      <protection locked="0"/>
    </xf>
    <xf numFmtId="0" fontId="108" fillId="8" borderId="54" xfId="0" applyFont="1" applyFill="1" applyBorder="1" applyAlignment="1" applyProtection="1">
      <alignment horizontal="center" vertical="center"/>
      <protection locked="0"/>
    </xf>
    <xf numFmtId="0" fontId="108" fillId="8" borderId="58" xfId="0" applyFont="1" applyFill="1" applyBorder="1" applyAlignment="1" applyProtection="1">
      <alignment horizontal="center" vertical="center"/>
      <protection locked="0"/>
    </xf>
    <xf numFmtId="0" fontId="135" fillId="0" borderId="299" xfId="0" applyFont="1" applyFill="1" applyBorder="1" applyAlignment="1" applyProtection="1">
      <alignment horizontal="center" vertical="center" wrapText="1"/>
      <protection locked="0"/>
    </xf>
    <xf numFmtId="0" fontId="135" fillId="0" borderId="203" xfId="0" applyFont="1" applyFill="1" applyBorder="1" applyAlignment="1" applyProtection="1">
      <alignment horizontal="center" vertical="center" wrapText="1"/>
      <protection locked="0"/>
    </xf>
    <xf numFmtId="38" fontId="135" fillId="0" borderId="327" xfId="3" applyFont="1" applyFill="1" applyBorder="1" applyAlignment="1" applyProtection="1">
      <alignment horizontal="center" vertical="center"/>
      <protection locked="0"/>
    </xf>
    <xf numFmtId="38" fontId="135" fillId="0" borderId="328" xfId="3" applyFont="1" applyFill="1" applyBorder="1" applyAlignment="1" applyProtection="1">
      <alignment horizontal="center" vertical="center"/>
      <protection locked="0"/>
    </xf>
    <xf numFmtId="38" fontId="135" fillId="0" borderId="299" xfId="3" applyFont="1" applyFill="1" applyBorder="1" applyAlignment="1" applyProtection="1">
      <alignment horizontal="center" vertical="center"/>
      <protection locked="0"/>
    </xf>
    <xf numFmtId="38" fontId="135" fillId="0" borderId="203" xfId="3" applyFont="1" applyFill="1" applyBorder="1" applyAlignment="1" applyProtection="1">
      <alignment horizontal="center" vertical="center"/>
      <protection locked="0"/>
    </xf>
    <xf numFmtId="0" fontId="143" fillId="0" borderId="181" xfId="0" applyFont="1" applyFill="1" applyBorder="1" applyAlignment="1" applyProtection="1">
      <alignment vertical="center" justifyLastLine="1"/>
      <protection locked="0"/>
    </xf>
    <xf numFmtId="0" fontId="143" fillId="0" borderId="56" xfId="0" applyFont="1" applyFill="1" applyBorder="1" applyAlignment="1" applyProtection="1">
      <alignment vertical="center" justifyLastLine="1"/>
      <protection locked="0"/>
    </xf>
    <xf numFmtId="0" fontId="143" fillId="0" borderId="57" xfId="0" applyFont="1" applyFill="1" applyBorder="1" applyAlignment="1" applyProtection="1">
      <alignment vertical="center" justifyLastLine="1"/>
      <protection locked="0"/>
    </xf>
    <xf numFmtId="178" fontId="150" fillId="0" borderId="156" xfId="0" applyNumberFormat="1" applyFont="1" applyFill="1" applyBorder="1" applyAlignment="1" applyProtection="1">
      <alignment horizontal="center" vertical="center" shrinkToFit="1"/>
    </xf>
    <xf numFmtId="178" fontId="150" fillId="0" borderId="157" xfId="0" applyNumberFormat="1" applyFont="1" applyFill="1" applyBorder="1" applyAlignment="1" applyProtection="1">
      <alignment horizontal="center" vertical="center" shrinkToFit="1"/>
    </xf>
    <xf numFmtId="178" fontId="150" fillId="0" borderId="239" xfId="0" applyNumberFormat="1" applyFont="1" applyFill="1" applyBorder="1" applyAlignment="1" applyProtection="1">
      <alignment horizontal="center" vertical="center" shrinkToFit="1"/>
    </xf>
    <xf numFmtId="178" fontId="129" fillId="0" borderId="15" xfId="0" applyNumberFormat="1" applyFont="1" applyFill="1" applyBorder="1" applyAlignment="1" applyProtection="1">
      <alignment horizontal="center" vertical="center" shrinkToFit="1"/>
    </xf>
    <xf numFmtId="178" fontId="129" fillId="0" borderId="10" xfId="0" applyNumberFormat="1" applyFont="1" applyFill="1" applyBorder="1" applyAlignment="1" applyProtection="1">
      <alignment horizontal="center" vertical="center" shrinkToFit="1"/>
    </xf>
    <xf numFmtId="178" fontId="129" fillId="0" borderId="14" xfId="0" applyNumberFormat="1" applyFont="1" applyFill="1" applyBorder="1" applyAlignment="1" applyProtection="1">
      <alignment horizontal="center" vertical="center" shrinkToFit="1"/>
    </xf>
    <xf numFmtId="0" fontId="113" fillId="0" borderId="54" xfId="0" applyFont="1" applyFill="1" applyBorder="1" applyAlignment="1" applyProtection="1">
      <alignment horizontal="center" vertical="center" wrapText="1"/>
    </xf>
    <xf numFmtId="0" fontId="113" fillId="0" borderId="54" xfId="0" applyFont="1" applyFill="1" applyBorder="1" applyAlignment="1" applyProtection="1">
      <alignment horizontal="center" vertical="center"/>
    </xf>
    <xf numFmtId="178" fontId="120" fillId="0" borderId="54" xfId="0" applyNumberFormat="1" applyFont="1" applyFill="1" applyBorder="1" applyAlignment="1" applyProtection="1">
      <alignment horizontal="center" vertical="center" wrapText="1" shrinkToFit="1"/>
    </xf>
    <xf numFmtId="178" fontId="120" fillId="0" borderId="17" xfId="0" applyNumberFormat="1" applyFont="1" applyFill="1" applyBorder="1" applyAlignment="1" applyProtection="1">
      <alignment horizontal="center" vertical="center" shrinkToFit="1"/>
    </xf>
    <xf numFmtId="178" fontId="120" fillId="0" borderId="53" xfId="0" applyNumberFormat="1" applyFont="1" applyFill="1" applyBorder="1" applyAlignment="1" applyProtection="1">
      <alignment horizontal="center" vertical="center" shrinkToFit="1"/>
    </xf>
    <xf numFmtId="178" fontId="101" fillId="0" borderId="233" xfId="0" applyNumberFormat="1" applyFont="1" applyFill="1" applyBorder="1" applyAlignment="1" applyProtection="1">
      <alignment horizontal="center" vertical="center" wrapText="1" shrinkToFit="1"/>
    </xf>
    <xf numFmtId="178" fontId="129" fillId="0" borderId="233" xfId="0" applyNumberFormat="1" applyFont="1" applyFill="1" applyBorder="1" applyAlignment="1" applyProtection="1">
      <alignment horizontal="center" vertical="center" wrapText="1" shrinkToFit="1"/>
    </xf>
    <xf numFmtId="178" fontId="120" fillId="0" borderId="164" xfId="0" applyNumberFormat="1" applyFont="1" applyFill="1" applyBorder="1" applyAlignment="1" applyProtection="1">
      <alignment horizontal="center" vertical="center" shrinkToFit="1"/>
    </xf>
    <xf numFmtId="178" fontId="120" fillId="0" borderId="0" xfId="0" applyNumberFormat="1" applyFont="1" applyFill="1" applyBorder="1" applyAlignment="1" applyProtection="1">
      <alignment horizontal="center" vertical="center" shrinkToFit="1"/>
    </xf>
    <xf numFmtId="178" fontId="120" fillId="0" borderId="12" xfId="0" applyNumberFormat="1" applyFont="1" applyFill="1" applyBorder="1" applyAlignment="1" applyProtection="1">
      <alignment horizontal="center" vertical="center" shrinkToFit="1"/>
    </xf>
    <xf numFmtId="178" fontId="120" fillId="0" borderId="188" xfId="0" applyNumberFormat="1" applyFont="1" applyFill="1" applyBorder="1" applyAlignment="1" applyProtection="1">
      <alignment horizontal="center" vertical="center" shrinkToFit="1"/>
    </xf>
    <xf numFmtId="178" fontId="120" fillId="0" borderId="189" xfId="0" applyNumberFormat="1" applyFont="1" applyFill="1" applyBorder="1" applyAlignment="1" applyProtection="1">
      <alignment horizontal="center" vertical="center" shrinkToFit="1"/>
    </xf>
    <xf numFmtId="178" fontId="120" fillId="0" borderId="109" xfId="0" applyNumberFormat="1" applyFont="1" applyFill="1" applyBorder="1" applyAlignment="1" applyProtection="1">
      <alignment horizontal="center" vertical="center" shrinkToFit="1"/>
    </xf>
    <xf numFmtId="178" fontId="101" fillId="0" borderId="75" xfId="0" applyNumberFormat="1" applyFont="1" applyFill="1" applyBorder="1" applyAlignment="1" applyProtection="1">
      <alignment horizontal="center" vertical="center" shrinkToFit="1"/>
    </xf>
    <xf numFmtId="178" fontId="129" fillId="0" borderId="75" xfId="0" applyNumberFormat="1" applyFont="1" applyFill="1" applyBorder="1" applyAlignment="1" applyProtection="1">
      <alignment horizontal="center" vertical="center" shrinkToFit="1"/>
    </xf>
    <xf numFmtId="0" fontId="143" fillId="0" borderId="2" xfId="0" applyFont="1" applyFill="1" applyBorder="1" applyAlignment="1" applyProtection="1">
      <alignment horizontal="left" vertical="center" wrapText="1"/>
    </xf>
    <xf numFmtId="0" fontId="52" fillId="0" borderId="0" xfId="0" applyFont="1" applyFill="1" applyAlignment="1" applyProtection="1">
      <alignment horizontal="left" vertical="center"/>
    </xf>
    <xf numFmtId="0" fontId="26" fillId="0" borderId="2" xfId="0" applyFont="1" applyFill="1" applyBorder="1" applyAlignment="1" applyProtection="1">
      <alignment horizontal="left" vertical="center"/>
    </xf>
    <xf numFmtId="0" fontId="143" fillId="0" borderId="21" xfId="0" applyFont="1" applyFill="1" applyBorder="1" applyAlignment="1" applyProtection="1">
      <alignment horizontal="center" vertical="center"/>
    </xf>
    <xf numFmtId="0" fontId="143" fillId="0" borderId="54" xfId="0" applyFont="1" applyFill="1" applyBorder="1" applyAlignment="1" applyProtection="1">
      <alignment horizontal="center" vertical="center"/>
    </xf>
    <xf numFmtId="178" fontId="115" fillId="0" borderId="215" xfId="0" applyNumberFormat="1" applyFont="1" applyFill="1" applyBorder="1" applyAlignment="1" applyProtection="1">
      <alignment horizontal="center" vertical="center" shrinkToFit="1"/>
    </xf>
    <xf numFmtId="178" fontId="115" fillId="0" borderId="35" xfId="0" applyNumberFormat="1" applyFont="1" applyFill="1" applyBorder="1" applyAlignment="1" applyProtection="1">
      <alignment horizontal="center" vertical="center" shrinkToFit="1"/>
    </xf>
    <xf numFmtId="178" fontId="115" fillId="0" borderId="37" xfId="0" applyNumberFormat="1" applyFont="1" applyFill="1" applyBorder="1" applyAlignment="1" applyProtection="1">
      <alignment horizontal="center" vertical="center" shrinkToFit="1"/>
    </xf>
    <xf numFmtId="0" fontId="143" fillId="0" borderId="181" xfId="0" applyFont="1" applyFill="1" applyBorder="1" applyAlignment="1" applyProtection="1">
      <alignment horizontal="center" vertical="center"/>
    </xf>
    <xf numFmtId="0" fontId="143" fillId="0" borderId="56" xfId="0" applyFont="1" applyFill="1" applyBorder="1" applyAlignment="1" applyProtection="1">
      <alignment horizontal="center" vertical="center"/>
    </xf>
    <xf numFmtId="0" fontId="143" fillId="0" borderId="59" xfId="0" applyFont="1" applyFill="1" applyBorder="1" applyAlignment="1" applyProtection="1">
      <alignment horizontal="center" vertical="center"/>
    </xf>
    <xf numFmtId="0" fontId="143" fillId="0" borderId="35" xfId="0" applyFont="1" applyFill="1" applyBorder="1" applyAlignment="1" applyProtection="1">
      <alignment horizontal="center" vertical="center" shrinkToFit="1"/>
    </xf>
    <xf numFmtId="0" fontId="143" fillId="0" borderId="37" xfId="0" applyFont="1" applyFill="1" applyBorder="1" applyAlignment="1" applyProtection="1">
      <alignment horizontal="center" vertical="center" shrinkToFit="1"/>
    </xf>
    <xf numFmtId="178" fontId="120" fillId="0" borderId="17" xfId="0" applyNumberFormat="1" applyFont="1" applyFill="1" applyBorder="1" applyAlignment="1" applyProtection="1">
      <alignment horizontal="center" vertical="center" wrapText="1" shrinkToFit="1"/>
    </xf>
    <xf numFmtId="178" fontId="120" fillId="0" borderId="53" xfId="0" applyNumberFormat="1" applyFont="1" applyFill="1" applyBorder="1" applyAlignment="1" applyProtection="1">
      <alignment horizontal="center" vertical="center" wrapText="1" shrinkToFit="1"/>
    </xf>
    <xf numFmtId="0" fontId="141" fillId="0" borderId="0" xfId="0" applyFont="1" applyFill="1" applyBorder="1" applyAlignment="1" applyProtection="1">
      <alignment horizontal="center" vertical="center" shrinkToFit="1"/>
    </xf>
    <xf numFmtId="0" fontId="142" fillId="0" borderId="0" xfId="0" applyFont="1" applyFill="1" applyBorder="1" applyAlignment="1" applyProtection="1">
      <alignment horizontal="center" vertical="top" shrinkToFit="1"/>
    </xf>
    <xf numFmtId="0" fontId="142" fillId="0" borderId="2" xfId="0" applyFont="1" applyFill="1" applyBorder="1" applyAlignment="1" applyProtection="1">
      <alignment horizontal="center" vertical="top" shrinkToFit="1"/>
    </xf>
    <xf numFmtId="0" fontId="143" fillId="0" borderId="21" xfId="0" applyFont="1" applyBorder="1" applyAlignment="1">
      <alignment horizontal="center" vertical="center"/>
    </xf>
    <xf numFmtId="178" fontId="115" fillId="0" borderId="215" xfId="0" applyNumberFormat="1" applyFont="1" applyBorder="1" applyAlignment="1">
      <alignment horizontal="center" vertical="center" shrinkToFit="1"/>
    </xf>
    <xf numFmtId="178" fontId="115" fillId="0" borderId="35" xfId="0" applyNumberFormat="1" applyFont="1" applyBorder="1" applyAlignment="1">
      <alignment horizontal="center" vertical="center" shrinkToFit="1"/>
    </xf>
    <xf numFmtId="178" fontId="115" fillId="0" borderId="37" xfId="0" applyNumberFormat="1" applyFont="1" applyBorder="1" applyAlignment="1">
      <alignment horizontal="center" vertical="center" shrinkToFit="1"/>
    </xf>
    <xf numFmtId="0" fontId="143" fillId="0" borderId="181" xfId="0" applyFont="1" applyBorder="1" applyAlignment="1">
      <alignment horizontal="center" vertical="center"/>
    </xf>
    <xf numFmtId="0" fontId="143" fillId="0" borderId="56" xfId="0" applyFont="1" applyBorder="1" applyAlignment="1">
      <alignment horizontal="center" vertical="center"/>
    </xf>
    <xf numFmtId="0" fontId="143" fillId="0" borderId="59" xfId="0" applyFont="1" applyBorder="1" applyAlignment="1">
      <alignment horizontal="center" vertical="center"/>
    </xf>
    <xf numFmtId="0" fontId="143" fillId="0" borderId="35" xfId="0" applyFont="1" applyBorder="1" applyAlignment="1">
      <alignment horizontal="center" vertical="center" shrinkToFit="1"/>
    </xf>
    <xf numFmtId="0" fontId="143" fillId="0" borderId="37" xfId="0" applyFont="1" applyBorder="1" applyAlignment="1">
      <alignment horizontal="center" vertical="center" shrinkToFit="1"/>
    </xf>
    <xf numFmtId="177" fontId="142" fillId="0" borderId="0" xfId="0" applyNumberFormat="1" applyFont="1" applyFill="1" applyBorder="1" applyAlignment="1" applyProtection="1">
      <alignment horizontal="center" vertical="top" shrinkToFit="1"/>
    </xf>
    <xf numFmtId="178" fontId="129" fillId="0" borderId="15" xfId="0" applyNumberFormat="1" applyFont="1" applyBorder="1" applyAlignment="1">
      <alignment horizontal="center" vertical="center" shrinkToFit="1"/>
    </xf>
    <xf numFmtId="178" fontId="129" fillId="0" borderId="10" xfId="0" applyNumberFormat="1" applyFont="1" applyBorder="1" applyAlignment="1">
      <alignment horizontal="center" vertical="center" shrinkToFit="1"/>
    </xf>
    <xf numFmtId="178" fontId="129" fillId="0" borderId="14" xfId="0" applyNumberFormat="1" applyFont="1" applyBorder="1" applyAlignment="1">
      <alignment horizontal="center" vertical="center" shrinkToFit="1"/>
    </xf>
    <xf numFmtId="0" fontId="113" fillId="0" borderId="54" xfId="0" applyFont="1" applyBorder="1" applyAlignment="1">
      <alignment horizontal="center" vertical="center" wrapText="1"/>
    </xf>
    <xf numFmtId="0" fontId="113" fillId="0" borderId="54" xfId="0" applyFont="1" applyBorder="1" applyAlignment="1">
      <alignment horizontal="center" vertical="center"/>
    </xf>
    <xf numFmtId="0" fontId="143" fillId="0" borderId="17" xfId="0" applyFont="1" applyFill="1" applyBorder="1" applyAlignment="1" applyProtection="1">
      <alignment horizontal="center" vertical="center"/>
    </xf>
    <xf numFmtId="178" fontId="120" fillId="0" borderId="34" xfId="0" applyNumberFormat="1" applyFont="1" applyFill="1" applyBorder="1" applyAlignment="1" applyProtection="1">
      <alignment horizontal="center" vertical="center" shrinkToFit="1"/>
    </xf>
    <xf numFmtId="178" fontId="150" fillId="0" borderId="156" xfId="0" applyNumberFormat="1" applyFont="1" applyBorder="1" applyAlignment="1">
      <alignment horizontal="center" vertical="center" shrinkToFit="1"/>
    </xf>
    <xf numFmtId="178" fontId="150" fillId="0" borderId="157" xfId="0" applyNumberFormat="1" applyFont="1" applyBorder="1" applyAlignment="1">
      <alignment horizontal="center" vertical="center" shrinkToFit="1"/>
    </xf>
    <xf numFmtId="178" fontId="150" fillId="0" borderId="239" xfId="0" applyNumberFormat="1" applyFont="1" applyBorder="1" applyAlignment="1">
      <alignment horizontal="center" vertical="center" shrinkToFit="1"/>
    </xf>
    <xf numFmtId="176" fontId="111" fillId="0" borderId="164" xfId="0" applyNumberFormat="1" applyFont="1" applyBorder="1" applyAlignment="1" applyProtection="1">
      <alignment horizontal="center" vertical="center" shrinkToFit="1"/>
      <protection locked="0"/>
    </xf>
    <xf numFmtId="176" fontId="111" fillId="0" borderId="0" xfId="0" applyNumberFormat="1" applyFont="1" applyAlignment="1" applyProtection="1">
      <alignment horizontal="center" vertical="center" shrinkToFit="1"/>
      <protection locked="0"/>
    </xf>
    <xf numFmtId="176" fontId="111" fillId="0" borderId="12" xfId="0" applyNumberFormat="1" applyFont="1" applyBorder="1" applyAlignment="1" applyProtection="1">
      <alignment horizontal="center" vertical="center" shrinkToFit="1"/>
      <protection locked="0"/>
    </xf>
    <xf numFmtId="176" fontId="111" fillId="0" borderId="184" xfId="0" applyNumberFormat="1" applyFont="1" applyBorder="1" applyAlignment="1" applyProtection="1">
      <alignment horizontal="center" vertical="center" shrinkToFit="1"/>
      <protection locked="0"/>
    </xf>
    <xf numFmtId="176" fontId="111" fillId="0" borderId="25" xfId="0" applyNumberFormat="1" applyFont="1" applyBorder="1" applyAlignment="1" applyProtection="1">
      <alignment horizontal="center" vertical="center" shrinkToFit="1"/>
      <protection locked="0"/>
    </xf>
    <xf numFmtId="176" fontId="111" fillId="0" borderId="26" xfId="0" applyNumberFormat="1" applyFont="1" applyBorder="1" applyAlignment="1" applyProtection="1">
      <alignment horizontal="center" vertical="center" shrinkToFit="1"/>
      <protection locked="0"/>
    </xf>
    <xf numFmtId="176" fontId="111" fillId="0" borderId="240" xfId="0" applyNumberFormat="1" applyFont="1" applyBorder="1" applyAlignment="1" applyProtection="1">
      <alignment horizontal="center" vertical="center" shrinkToFit="1"/>
      <protection locked="0"/>
    </xf>
    <xf numFmtId="176" fontId="111" fillId="0" borderId="241" xfId="0" applyNumberFormat="1" applyFont="1" applyBorder="1" applyAlignment="1" applyProtection="1">
      <alignment horizontal="center" vertical="center" shrinkToFit="1"/>
      <protection locked="0"/>
    </xf>
    <xf numFmtId="176" fontId="111" fillId="0" borderId="242" xfId="0" applyNumberFormat="1" applyFont="1" applyBorder="1" applyAlignment="1" applyProtection="1">
      <alignment horizontal="center" vertical="center" shrinkToFit="1"/>
      <protection locked="0"/>
    </xf>
    <xf numFmtId="176" fontId="111" fillId="0" borderId="240" xfId="0" applyNumberFormat="1" applyFont="1" applyBorder="1" applyAlignment="1" applyProtection="1">
      <alignment vertical="center" shrinkToFit="1"/>
      <protection locked="0"/>
    </xf>
    <xf numFmtId="176" fontId="111" fillId="0" borderId="241" xfId="0" applyNumberFormat="1" applyFont="1" applyBorder="1" applyAlignment="1" applyProtection="1">
      <alignment vertical="center" shrinkToFit="1"/>
      <protection locked="0"/>
    </xf>
    <xf numFmtId="176" fontId="111" fillId="0" borderId="242" xfId="0" applyNumberFormat="1" applyFont="1" applyBorder="1" applyAlignment="1" applyProtection="1">
      <alignment vertical="center" shrinkToFit="1"/>
      <protection locked="0"/>
    </xf>
    <xf numFmtId="176" fontId="111" fillId="0" borderId="214" xfId="0" applyNumberFormat="1" applyFont="1" applyBorder="1" applyAlignment="1" applyProtection="1">
      <alignment horizontal="center" vertical="center" shrinkToFit="1"/>
      <protection locked="0"/>
    </xf>
    <xf numFmtId="176" fontId="111" fillId="0" borderId="186" xfId="0" applyNumberFormat="1" applyFont="1" applyBorder="1" applyAlignment="1" applyProtection="1">
      <alignment horizontal="center" vertical="center" shrinkToFit="1"/>
      <protection locked="0"/>
    </xf>
    <xf numFmtId="176" fontId="111" fillId="0" borderId="187" xfId="0" applyNumberFormat="1" applyFont="1" applyBorder="1" applyAlignment="1" applyProtection="1">
      <alignment horizontal="center" vertical="center" shrinkToFit="1"/>
      <protection locked="0"/>
    </xf>
    <xf numFmtId="176" fontId="111" fillId="0" borderId="214" xfId="0" applyNumberFormat="1" applyFont="1" applyBorder="1" applyAlignment="1" applyProtection="1">
      <alignment vertical="center" shrinkToFit="1"/>
      <protection locked="0"/>
    </xf>
    <xf numFmtId="176" fontId="111" fillId="0" borderId="186" xfId="0" applyNumberFormat="1" applyFont="1" applyBorder="1" applyAlignment="1" applyProtection="1">
      <alignment vertical="center" shrinkToFit="1"/>
      <protection locked="0"/>
    </xf>
    <xf numFmtId="176" fontId="111" fillId="0" borderId="187" xfId="0" applyNumberFormat="1" applyFont="1" applyBorder="1" applyAlignment="1" applyProtection="1">
      <alignment vertical="center" shrinkToFit="1"/>
      <protection locked="0"/>
    </xf>
    <xf numFmtId="176" fontId="111" fillId="0" borderId="259" xfId="0" applyNumberFormat="1" applyFont="1" applyBorder="1" applyAlignment="1" applyProtection="1">
      <alignment horizontal="center" vertical="center" shrinkToFit="1"/>
      <protection locked="0"/>
    </xf>
    <xf numFmtId="176" fontId="111" fillId="0" borderId="260" xfId="0" applyNumberFormat="1" applyFont="1" applyBorder="1" applyAlignment="1" applyProtection="1">
      <alignment horizontal="center" vertical="center" shrinkToFit="1"/>
      <protection locked="0"/>
    </xf>
    <xf numFmtId="176" fontId="111" fillId="0" borderId="198" xfId="0" applyNumberFormat="1" applyFont="1" applyBorder="1" applyAlignment="1" applyProtection="1">
      <alignment horizontal="center" vertical="center" shrinkToFit="1"/>
      <protection locked="0"/>
    </xf>
    <xf numFmtId="176" fontId="111" fillId="0" borderId="199" xfId="0" applyNumberFormat="1" applyFont="1" applyBorder="1" applyAlignment="1" applyProtection="1">
      <alignment horizontal="center" vertical="center" shrinkToFit="1"/>
      <protection locked="0"/>
    </xf>
    <xf numFmtId="0" fontId="133" fillId="3" borderId="203" xfId="0" applyFont="1" applyFill="1" applyBorder="1" applyAlignment="1" applyProtection="1">
      <alignment horizontal="center" vertical="center" textRotation="255"/>
    </xf>
    <xf numFmtId="0" fontId="133" fillId="3" borderId="253" xfId="0" applyFont="1" applyFill="1" applyBorder="1" applyAlignment="1" applyProtection="1">
      <alignment horizontal="center" vertical="center" textRotation="255"/>
    </xf>
    <xf numFmtId="177" fontId="142" fillId="0" borderId="0" xfId="0" applyNumberFormat="1" applyFont="1" applyAlignment="1">
      <alignment horizontal="center" vertical="top" shrinkToFit="1"/>
    </xf>
    <xf numFmtId="0" fontId="143" fillId="0" borderId="2" xfId="0" applyFont="1" applyBorder="1" applyAlignment="1">
      <alignment horizontal="left" vertical="center" wrapText="1"/>
    </xf>
    <xf numFmtId="0" fontId="108" fillId="8" borderId="166" xfId="0" applyFont="1" applyFill="1" applyBorder="1" applyAlignment="1" applyProtection="1">
      <alignment horizontal="center" vertical="center" wrapText="1"/>
      <protection locked="0"/>
    </xf>
    <xf numFmtId="0" fontId="108" fillId="8" borderId="19" xfId="0" applyFont="1" applyFill="1" applyBorder="1" applyAlignment="1" applyProtection="1">
      <alignment horizontal="center" vertical="center"/>
      <protection locked="0"/>
    </xf>
    <xf numFmtId="0" fontId="108" fillId="8" borderId="20" xfId="0" applyFont="1" applyFill="1" applyBorder="1" applyAlignment="1" applyProtection="1">
      <alignment horizontal="center" vertical="center"/>
      <protection locked="0"/>
    </xf>
    <xf numFmtId="0" fontId="150" fillId="0" borderId="178" xfId="0" applyFont="1" applyFill="1" applyBorder="1" applyAlignment="1" applyProtection="1">
      <alignment horizontal="center" vertical="center" shrinkToFit="1"/>
    </xf>
    <xf numFmtId="0" fontId="150" fillId="0" borderId="179" xfId="0" applyFont="1" applyFill="1" applyBorder="1" applyAlignment="1" applyProtection="1">
      <alignment horizontal="center" vertical="center" shrinkToFit="1"/>
    </xf>
    <xf numFmtId="0" fontId="150" fillId="0" borderId="70" xfId="0" applyFont="1" applyFill="1" applyBorder="1" applyAlignment="1" applyProtection="1">
      <alignment horizontal="center" vertical="center" shrinkToFit="1"/>
    </xf>
    <xf numFmtId="180" fontId="111" fillId="0" borderId="302" xfId="0" applyNumberFormat="1" applyFont="1" applyFill="1" applyBorder="1" applyAlignment="1" applyProtection="1">
      <alignment horizontal="center" vertical="center" shrinkToFit="1"/>
      <protection locked="0"/>
    </xf>
    <xf numFmtId="176" fontId="111" fillId="0" borderId="219" xfId="0" applyNumberFormat="1" applyFont="1" applyBorder="1" applyAlignment="1" applyProtection="1">
      <alignment horizontal="center" vertical="center" shrinkToFit="1"/>
      <protection locked="0"/>
    </xf>
    <xf numFmtId="176" fontId="111" fillId="0" borderId="90" xfId="0" applyNumberFormat="1" applyFont="1" applyBorder="1" applyAlignment="1" applyProtection="1">
      <alignment horizontal="center" vertical="center" shrinkToFit="1"/>
      <protection locked="0"/>
    </xf>
    <xf numFmtId="0" fontId="129" fillId="0" borderId="218" xfId="0" applyFont="1" applyBorder="1" applyAlignment="1">
      <alignment horizontal="center" vertical="center"/>
    </xf>
    <xf numFmtId="0" fontId="146" fillId="3" borderId="14" xfId="0" applyFont="1" applyFill="1" applyBorder="1" applyAlignment="1">
      <alignment horizontal="center" vertical="center" textRotation="255"/>
    </xf>
    <xf numFmtId="0" fontId="146" fillId="3" borderId="12" xfId="0" applyFont="1" applyFill="1" applyBorder="1" applyAlignment="1">
      <alignment horizontal="center" vertical="center" textRotation="255"/>
    </xf>
    <xf numFmtId="0" fontId="146" fillId="3" borderId="3" xfId="0" applyFont="1" applyFill="1" applyBorder="1" applyAlignment="1">
      <alignment horizontal="center" vertical="center" textRotation="255"/>
    </xf>
    <xf numFmtId="180" fontId="111" fillId="0" borderId="40" xfId="0" applyNumberFormat="1" applyFont="1" applyFill="1" applyBorder="1" applyAlignment="1" applyProtection="1">
      <alignment horizontal="center" vertical="center" shrinkToFit="1"/>
      <protection locked="0"/>
    </xf>
    <xf numFmtId="0" fontId="141" fillId="0" borderId="0" xfId="0" applyFont="1" applyAlignment="1">
      <alignment horizontal="center" vertical="center" shrinkToFit="1"/>
    </xf>
    <xf numFmtId="0" fontId="142" fillId="0" borderId="0" xfId="0" applyFont="1" applyAlignment="1">
      <alignment horizontal="center" vertical="top" shrinkToFit="1"/>
    </xf>
    <xf numFmtId="0" fontId="142" fillId="0" borderId="2" xfId="0" applyFont="1" applyBorder="1" applyAlignment="1">
      <alignment horizontal="center" vertical="top" shrinkToFit="1"/>
    </xf>
    <xf numFmtId="38" fontId="111" fillId="0" borderId="2" xfId="2" applyFont="1" applyFill="1" applyBorder="1" applyAlignment="1" applyProtection="1">
      <alignment horizontal="center" vertical="center" shrinkToFit="1"/>
      <protection locked="0"/>
    </xf>
    <xf numFmtId="38" fontId="111" fillId="0" borderId="3" xfId="2" applyFont="1" applyFill="1" applyBorder="1" applyAlignment="1" applyProtection="1">
      <alignment horizontal="center" vertical="center" shrinkToFit="1"/>
      <protection locked="0"/>
    </xf>
    <xf numFmtId="180" fontId="111" fillId="0" borderId="220" xfId="0" applyNumberFormat="1" applyFont="1" applyFill="1" applyBorder="1" applyAlignment="1" applyProtection="1">
      <alignment horizontal="center" vertical="center" shrinkToFit="1"/>
      <protection locked="0"/>
    </xf>
    <xf numFmtId="180" fontId="111" fillId="0" borderId="219" xfId="0" applyNumberFormat="1" applyFont="1" applyFill="1" applyBorder="1" applyAlignment="1" applyProtection="1">
      <alignment horizontal="center" vertical="center" shrinkToFit="1"/>
      <protection locked="0"/>
    </xf>
    <xf numFmtId="0" fontId="122" fillId="0" borderId="0" xfId="0" applyFont="1" applyAlignment="1" applyProtection="1">
      <alignment horizontal="center" wrapText="1"/>
      <protection locked="0"/>
    </xf>
    <xf numFmtId="49" fontId="121" fillId="0" borderId="15" xfId="0" applyNumberFormat="1" applyFont="1" applyBorder="1" applyAlignment="1">
      <alignment horizontal="center" vertical="center"/>
    </xf>
    <xf numFmtId="49" fontId="121" fillId="0" borderId="10" xfId="0" applyNumberFormat="1" applyFont="1" applyBorder="1" applyAlignment="1">
      <alignment horizontal="center" vertical="center"/>
    </xf>
    <xf numFmtId="49" fontId="121" fillId="0" borderId="14" xfId="0" applyNumberFormat="1" applyFont="1" applyBorder="1" applyAlignment="1">
      <alignment horizontal="center" vertical="center"/>
    </xf>
    <xf numFmtId="49" fontId="40" fillId="0" borderId="15"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40" fillId="0" borderId="14" xfId="0" applyNumberFormat="1" applyFont="1" applyBorder="1" applyAlignment="1">
      <alignment horizontal="center" vertical="center"/>
    </xf>
    <xf numFmtId="49" fontId="111" fillId="0" borderId="13" xfId="0" applyNumberFormat="1" applyFont="1" applyBorder="1" applyAlignment="1">
      <alignment horizontal="center" vertical="center"/>
    </xf>
    <xf numFmtId="49" fontId="111" fillId="0" borderId="0" xfId="0" applyNumberFormat="1" applyFont="1" applyBorder="1" applyAlignment="1">
      <alignment horizontal="center" vertical="center"/>
    </xf>
    <xf numFmtId="49" fontId="111" fillId="0" borderId="12" xfId="0" applyNumberFormat="1" applyFont="1" applyBorder="1" applyAlignment="1">
      <alignment horizontal="center" vertical="center"/>
    </xf>
    <xf numFmtId="49" fontId="121" fillId="0" borderId="13" xfId="0" applyNumberFormat="1" applyFont="1" applyBorder="1" applyAlignment="1">
      <alignment horizontal="center" vertical="center"/>
    </xf>
    <xf numFmtId="49" fontId="121" fillId="0" borderId="0" xfId="0" applyNumberFormat="1" applyFont="1" applyBorder="1" applyAlignment="1">
      <alignment horizontal="center" vertical="center"/>
    </xf>
    <xf numFmtId="49" fontId="121" fillId="0" borderId="12" xfId="0" applyNumberFormat="1" applyFont="1" applyBorder="1" applyAlignment="1">
      <alignment horizontal="center" vertical="center"/>
    </xf>
    <xf numFmtId="49" fontId="121" fillId="0" borderId="13" xfId="0" applyNumberFormat="1" applyFont="1" applyBorder="1" applyAlignment="1">
      <alignment horizontal="left" vertical="center"/>
    </xf>
    <xf numFmtId="49" fontId="121" fillId="0" borderId="0" xfId="0" applyNumberFormat="1" applyFont="1" applyBorder="1" applyAlignment="1">
      <alignment horizontal="left" vertical="center"/>
    </xf>
    <xf numFmtId="49" fontId="121" fillId="0" borderId="12" xfId="0" applyNumberFormat="1" applyFont="1" applyBorder="1" applyAlignment="1">
      <alignment horizontal="left" vertical="center"/>
    </xf>
    <xf numFmtId="178" fontId="99" fillId="0" borderId="13" xfId="0" applyNumberFormat="1" applyFont="1" applyBorder="1" applyAlignment="1">
      <alignment horizontal="right" vertical="center"/>
    </xf>
    <xf numFmtId="178" fontId="99" fillId="0" borderId="0" xfId="0" applyNumberFormat="1" applyFont="1" applyBorder="1" applyAlignment="1">
      <alignment horizontal="right" vertical="center"/>
    </xf>
    <xf numFmtId="0" fontId="99" fillId="0" borderId="0" xfId="0" applyNumberFormat="1" applyFont="1" applyBorder="1" applyAlignment="1" applyProtection="1">
      <alignment horizontal="center" vertical="center"/>
      <protection locked="0"/>
    </xf>
    <xf numFmtId="0" fontId="44" fillId="0" borderId="54" xfId="0" applyFont="1" applyBorder="1" applyAlignment="1">
      <alignment horizontal="center" vertical="center"/>
    </xf>
    <xf numFmtId="0" fontId="44" fillId="0" borderId="53" xfId="0" applyFont="1" applyBorder="1" applyAlignment="1">
      <alignment horizontal="center" vertical="center"/>
    </xf>
    <xf numFmtId="49" fontId="121" fillId="0" borderId="54" xfId="0" applyNumberFormat="1" applyFont="1" applyBorder="1" applyAlignment="1">
      <alignment horizontal="center" vertical="center"/>
    </xf>
    <xf numFmtId="49" fontId="121" fillId="0" borderId="17" xfId="0" applyNumberFormat="1" applyFont="1" applyBorder="1" applyAlignment="1">
      <alignment horizontal="center" vertical="center"/>
    </xf>
    <xf numFmtId="49" fontId="121" fillId="0" borderId="53" xfId="0" applyNumberFormat="1" applyFont="1" applyBorder="1" applyAlignment="1">
      <alignment horizontal="center" vertical="center"/>
    </xf>
    <xf numFmtId="49" fontId="99" fillId="0" borderId="0" xfId="0" applyNumberFormat="1" applyFont="1" applyBorder="1" applyAlignment="1">
      <alignment horizontal="center" vertical="center"/>
    </xf>
    <xf numFmtId="0" fontId="99" fillId="0" borderId="0" xfId="0" applyNumberFormat="1" applyFont="1" applyBorder="1" applyAlignment="1">
      <alignment horizontal="center" vertical="center"/>
    </xf>
    <xf numFmtId="0" fontId="124" fillId="0" borderId="0" xfId="0" applyNumberFormat="1" applyFont="1" applyBorder="1" applyAlignment="1">
      <alignment horizontal="center" vertical="center"/>
    </xf>
    <xf numFmtId="0" fontId="124" fillId="0" borderId="12" xfId="0" applyNumberFormat="1" applyFont="1" applyBorder="1" applyAlignment="1">
      <alignment horizontal="center" vertical="center"/>
    </xf>
    <xf numFmtId="178" fontId="99" fillId="0" borderId="0" xfId="0" applyNumberFormat="1" applyFont="1" applyBorder="1" applyAlignment="1">
      <alignment horizontal="center" vertical="center"/>
    </xf>
    <xf numFmtId="178" fontId="99" fillId="0" borderId="12" xfId="0" applyNumberFormat="1" applyFont="1" applyBorder="1" applyAlignment="1">
      <alignment horizontal="center" vertical="center"/>
    </xf>
    <xf numFmtId="0" fontId="99" fillId="0" borderId="12" xfId="0" applyNumberFormat="1" applyFont="1" applyBorder="1" applyAlignment="1">
      <alignment horizontal="center" vertical="center"/>
    </xf>
    <xf numFmtId="181" fontId="99" fillId="0" borderId="0" xfId="0" applyNumberFormat="1" applyFont="1" applyBorder="1" applyAlignment="1">
      <alignment horizontal="center" vertical="center" shrinkToFit="1"/>
    </xf>
    <xf numFmtId="181" fontId="99" fillId="0" borderId="12" xfId="0" applyNumberFormat="1" applyFont="1" applyBorder="1" applyAlignment="1">
      <alignment horizontal="center" vertical="center" shrinkToFit="1"/>
    </xf>
    <xf numFmtId="0" fontId="99" fillId="0" borderId="54" xfId="0" applyFont="1" applyBorder="1" applyAlignment="1" applyProtection="1">
      <alignment horizontal="center" vertical="center"/>
      <protection locked="0"/>
    </xf>
    <xf numFmtId="0" fontId="99" fillId="0" borderId="17" xfId="0" applyFont="1" applyBorder="1" applyAlignment="1" applyProtection="1">
      <alignment horizontal="center" vertical="center"/>
      <protection locked="0"/>
    </xf>
    <xf numFmtId="0" fontId="99" fillId="0" borderId="53" xfId="0" applyFont="1" applyBorder="1" applyAlignment="1" applyProtection="1">
      <alignment horizontal="center" vertical="center"/>
      <protection locked="0"/>
    </xf>
    <xf numFmtId="49" fontId="99" fillId="0" borderId="54" xfId="0" applyNumberFormat="1" applyFont="1" applyBorder="1" applyAlignment="1">
      <alignment horizontal="center" vertical="center"/>
    </xf>
    <xf numFmtId="49" fontId="99" fillId="0" borderId="17" xfId="0" applyNumberFormat="1" applyFont="1" applyBorder="1" applyAlignment="1">
      <alignment horizontal="center" vertical="center"/>
    </xf>
    <xf numFmtId="0" fontId="132" fillId="0" borderId="17" xfId="0" applyFont="1" applyBorder="1" applyAlignment="1" applyProtection="1">
      <alignment horizontal="center" vertical="center"/>
      <protection locked="0"/>
    </xf>
    <xf numFmtId="178" fontId="121" fillId="0" borderId="17" xfId="0" applyNumberFormat="1" applyFont="1" applyBorder="1" applyAlignment="1">
      <alignment horizontal="center" vertical="center"/>
    </xf>
    <xf numFmtId="49" fontId="121" fillId="0" borderId="0" xfId="0" applyNumberFormat="1" applyFont="1" applyAlignment="1">
      <alignment horizontal="center" vertical="center"/>
    </xf>
    <xf numFmtId="49" fontId="121" fillId="0" borderId="11" xfId="0" applyNumberFormat="1" applyFont="1" applyBorder="1" applyAlignment="1">
      <alignment horizontal="center" vertical="center"/>
    </xf>
    <xf numFmtId="49" fontId="121" fillId="0" borderId="2" xfId="0" applyNumberFormat="1" applyFont="1" applyBorder="1" applyAlignment="1">
      <alignment horizontal="center" vertical="center"/>
    </xf>
    <xf numFmtId="49" fontId="121" fillId="0" borderId="3" xfId="0" applyNumberFormat="1" applyFont="1" applyBorder="1" applyAlignment="1">
      <alignment horizontal="center" vertical="center"/>
    </xf>
    <xf numFmtId="49" fontId="101" fillId="0" borderId="17" xfId="0" applyNumberFormat="1" applyFont="1" applyBorder="1" applyAlignment="1">
      <alignment horizontal="left" vertical="center" wrapText="1"/>
    </xf>
    <xf numFmtId="49" fontId="101" fillId="0" borderId="53" xfId="0" applyNumberFormat="1" applyFont="1" applyBorder="1" applyAlignment="1">
      <alignment horizontal="left" vertical="center" wrapText="1"/>
    </xf>
    <xf numFmtId="38" fontId="111" fillId="0" borderId="0" xfId="1" applyFont="1" applyBorder="1" applyAlignment="1">
      <alignment horizontal="right"/>
    </xf>
    <xf numFmtId="38" fontId="111" fillId="0" borderId="69" xfId="1" applyFont="1" applyBorder="1" applyAlignment="1">
      <alignment horizontal="right"/>
    </xf>
    <xf numFmtId="0" fontId="121" fillId="0" borderId="0" xfId="0" applyFont="1" applyAlignment="1">
      <alignment horizontal="center" vertical="center"/>
    </xf>
    <xf numFmtId="0" fontId="121" fillId="0" borderId="13" xfId="0" applyFont="1" applyBorder="1" applyAlignment="1">
      <alignment horizontal="center" vertical="center"/>
    </xf>
    <xf numFmtId="49" fontId="121" fillId="0" borderId="0" xfId="0" applyNumberFormat="1" applyFont="1" applyAlignment="1">
      <alignment horizontal="left" vertical="center"/>
    </xf>
    <xf numFmtId="0" fontId="121" fillId="0" borderId="0" xfId="0" applyFont="1" applyBorder="1" applyAlignment="1">
      <alignment horizontal="center" vertical="center"/>
    </xf>
    <xf numFmtId="38" fontId="111" fillId="0" borderId="0" xfId="1" applyFont="1" applyBorder="1" applyAlignment="1">
      <alignment horizontal="center"/>
    </xf>
    <xf numFmtId="38" fontId="111" fillId="0" borderId="69" xfId="1" applyFont="1" applyBorder="1" applyAlignment="1">
      <alignment horizontal="center"/>
    </xf>
    <xf numFmtId="0" fontId="121" fillId="0" borderId="13" xfId="0" applyFont="1" applyBorder="1" applyAlignment="1">
      <alignment horizontal="left" vertical="center"/>
    </xf>
    <xf numFmtId="0" fontId="149" fillId="0" borderId="0" xfId="0" applyFont="1" applyAlignment="1" applyProtection="1">
      <alignment horizontal="center"/>
      <protection locked="0"/>
    </xf>
    <xf numFmtId="0" fontId="149" fillId="0" borderId="2" xfId="0" applyFont="1" applyBorder="1" applyAlignment="1" applyProtection="1">
      <alignment horizontal="center"/>
      <protection locked="0"/>
    </xf>
    <xf numFmtId="0" fontId="149" fillId="0" borderId="10" xfId="0" applyFont="1" applyBorder="1" applyAlignment="1" applyProtection="1">
      <alignment horizontal="center"/>
      <protection locked="0"/>
    </xf>
    <xf numFmtId="38" fontId="149" fillId="0" borderId="0" xfId="1" applyFont="1" applyBorder="1" applyAlignment="1" applyProtection="1">
      <alignment horizontal="right"/>
      <protection locked="0"/>
    </xf>
    <xf numFmtId="38" fontId="149" fillId="0" borderId="2" xfId="1" applyFont="1" applyBorder="1" applyAlignment="1" applyProtection="1">
      <alignment horizontal="right"/>
      <protection locked="0"/>
    </xf>
    <xf numFmtId="38" fontId="149" fillId="0" borderId="10" xfId="1" applyFont="1" applyBorder="1" applyAlignment="1" applyProtection="1">
      <alignment horizontal="right"/>
      <protection locked="0"/>
    </xf>
    <xf numFmtId="0" fontId="122" fillId="0" borderId="0" xfId="0" applyFont="1" applyBorder="1" applyAlignment="1">
      <alignment horizontal="center" wrapText="1"/>
    </xf>
    <xf numFmtId="0" fontId="149" fillId="0" borderId="0" xfId="0" applyFont="1" applyBorder="1" applyAlignment="1">
      <alignment horizontal="center"/>
    </xf>
    <xf numFmtId="0" fontId="149" fillId="0" borderId="2" xfId="0" applyFont="1" applyBorder="1" applyAlignment="1">
      <alignment horizontal="center"/>
    </xf>
    <xf numFmtId="0" fontId="149" fillId="0" borderId="10" xfId="0" applyFont="1" applyBorder="1" applyAlignment="1">
      <alignment horizontal="center"/>
    </xf>
    <xf numFmtId="0" fontId="121" fillId="0" borderId="21" xfId="0" applyFont="1" applyBorder="1" applyAlignment="1">
      <alignment horizontal="center" vertical="center"/>
    </xf>
    <xf numFmtId="0" fontId="121" fillId="0" borderId="15" xfId="0" applyFont="1" applyBorder="1" applyAlignment="1">
      <alignment horizontal="center" vertical="center"/>
    </xf>
    <xf numFmtId="0" fontId="121" fillId="0" borderId="14" xfId="0" applyFont="1" applyBorder="1" applyAlignment="1">
      <alignment horizontal="center" vertical="center"/>
    </xf>
    <xf numFmtId="0" fontId="121" fillId="0" borderId="12" xfId="0" applyFont="1" applyBorder="1" applyAlignment="1">
      <alignment horizontal="center" vertical="center"/>
    </xf>
    <xf numFmtId="0" fontId="121" fillId="0" borderId="11" xfId="0" applyFont="1" applyBorder="1" applyAlignment="1">
      <alignment horizontal="center" vertical="center"/>
    </xf>
    <xf numFmtId="0" fontId="121" fillId="0" borderId="3" xfId="0" applyFont="1" applyBorder="1" applyAlignment="1">
      <alignment horizontal="center" vertical="center"/>
    </xf>
    <xf numFmtId="0" fontId="101" fillId="0" borderId="54" xfId="8" applyFont="1" applyFill="1" applyBorder="1" applyAlignment="1" applyProtection="1">
      <alignment horizontal="center" vertical="center"/>
      <protection locked="0"/>
    </xf>
    <xf numFmtId="0" fontId="101" fillId="0" borderId="17" xfId="8" applyFont="1" applyFill="1" applyBorder="1" applyAlignment="1" applyProtection="1">
      <alignment horizontal="center" vertical="center"/>
      <protection locked="0"/>
    </xf>
    <xf numFmtId="0" fontId="101" fillId="0" borderId="86" xfId="8" applyFont="1" applyFill="1" applyBorder="1" applyAlignment="1" applyProtection="1">
      <alignment horizontal="center" vertical="center"/>
      <protection locked="0"/>
    </xf>
    <xf numFmtId="184" fontId="111" fillId="0" borderId="83" xfId="8" applyNumberFormat="1" applyFont="1" applyBorder="1" applyAlignment="1" applyProtection="1">
      <alignment horizontal="left" vertical="center"/>
      <protection locked="0"/>
    </xf>
    <xf numFmtId="184" fontId="111" fillId="0" borderId="18" xfId="8" applyNumberFormat="1" applyFont="1" applyBorder="1" applyAlignment="1" applyProtection="1">
      <alignment horizontal="left" vertical="center"/>
      <protection locked="0"/>
    </xf>
    <xf numFmtId="20" fontId="133" fillId="0" borderId="83" xfId="8" applyNumberFormat="1" applyFont="1" applyBorder="1" applyAlignment="1" applyProtection="1">
      <alignment horizontal="center" vertical="center"/>
      <protection locked="0"/>
    </xf>
    <xf numFmtId="0" fontId="121" fillId="0" borderId="2" xfId="8" applyFont="1" applyBorder="1" applyAlignment="1">
      <alignment horizontal="center" vertical="center"/>
    </xf>
    <xf numFmtId="0" fontId="121" fillId="0" borderId="221" xfId="8" applyFont="1" applyBorder="1" applyAlignment="1">
      <alignment horizontal="center" vertical="center"/>
    </xf>
    <xf numFmtId="0" fontId="121" fillId="0" borderId="255" xfId="8" applyFont="1" applyBorder="1" applyAlignment="1">
      <alignment horizontal="center" vertical="center"/>
    </xf>
    <xf numFmtId="0" fontId="121" fillId="0" borderId="274" xfId="8" applyFont="1" applyBorder="1" applyAlignment="1">
      <alignment horizontal="center" vertical="center"/>
    </xf>
    <xf numFmtId="0" fontId="101" fillId="0" borderId="98" xfId="8" applyFont="1" applyBorder="1" applyAlignment="1">
      <alignment horizontal="center" vertical="center"/>
    </xf>
    <xf numFmtId="0" fontId="101" fillId="0" borderId="263" xfId="8" applyFont="1" applyBorder="1" applyAlignment="1">
      <alignment horizontal="center" vertical="center"/>
    </xf>
    <xf numFmtId="0" fontId="101" fillId="0" borderId="273" xfId="8" applyFont="1" applyBorder="1" applyAlignment="1">
      <alignment horizontal="center" vertical="center"/>
    </xf>
    <xf numFmtId="0" fontId="57" fillId="0" borderId="0" xfId="8" applyFont="1" applyBorder="1" applyAlignment="1">
      <alignment horizontal="center" vertical="center"/>
    </xf>
    <xf numFmtId="49" fontId="149" fillId="0" borderId="0" xfId="8" applyNumberFormat="1" applyFont="1" applyBorder="1" applyAlignment="1" applyProtection="1">
      <alignment horizontal="center" vertical="center"/>
      <protection locked="0"/>
    </xf>
    <xf numFmtId="0" fontId="121" fillId="0" borderId="79" xfId="8" applyFont="1" applyBorder="1" applyAlignment="1">
      <alignment horizontal="center" vertical="center"/>
    </xf>
    <xf numFmtId="0" fontId="121" fillId="0" borderId="3" xfId="8" applyFont="1" applyBorder="1" applyAlignment="1">
      <alignment horizontal="center" vertical="center"/>
    </xf>
    <xf numFmtId="0" fontId="101" fillId="0" borderId="72" xfId="8" applyFont="1" applyBorder="1" applyAlignment="1" applyProtection="1">
      <alignment horizontal="center" vertical="center" wrapText="1"/>
      <protection locked="0"/>
    </xf>
    <xf numFmtId="0" fontId="101" fillId="0" borderId="153" xfId="8" applyFont="1" applyBorder="1" applyAlignment="1" applyProtection="1">
      <alignment horizontal="center" vertical="center" wrapText="1"/>
      <protection locked="0"/>
    </xf>
    <xf numFmtId="0" fontId="101" fillId="0" borderId="0" xfId="8" applyFont="1" applyBorder="1" applyAlignment="1" applyProtection="1">
      <alignment horizontal="center" vertical="center" wrapText="1"/>
      <protection locked="0"/>
    </xf>
    <xf numFmtId="0" fontId="101" fillId="0" borderId="12" xfId="8" applyFont="1" applyBorder="1" applyAlignment="1" applyProtection="1">
      <alignment horizontal="center" vertical="center" wrapText="1"/>
      <protection locked="0"/>
    </xf>
    <xf numFmtId="0" fontId="101" fillId="0" borderId="69" xfId="8" applyFont="1" applyBorder="1" applyAlignment="1" applyProtection="1">
      <alignment horizontal="center" vertical="center" wrapText="1"/>
      <protection locked="0"/>
    </xf>
    <xf numFmtId="0" fontId="101" fillId="0" borderId="147" xfId="8" applyFont="1" applyBorder="1" applyAlignment="1" applyProtection="1">
      <alignment horizontal="center" vertical="center" wrapText="1"/>
      <protection locked="0"/>
    </xf>
    <xf numFmtId="0" fontId="120" fillId="0" borderId="154" xfId="8" applyFont="1" applyBorder="1" applyAlignment="1" applyProtection="1">
      <alignment horizontal="center" vertical="center" wrapText="1" shrinkToFit="1"/>
      <protection locked="0"/>
    </xf>
    <xf numFmtId="0" fontId="120" fillId="0" borderId="153" xfId="8" applyFont="1" applyBorder="1" applyAlignment="1" applyProtection="1">
      <alignment horizontal="center" vertical="center" wrapText="1" shrinkToFit="1"/>
      <protection locked="0"/>
    </xf>
    <xf numFmtId="0" fontId="120" fillId="0" borderId="13" xfId="8" applyFont="1" applyBorder="1" applyAlignment="1" applyProtection="1">
      <alignment horizontal="center" vertical="center" wrapText="1" shrinkToFit="1"/>
      <protection locked="0"/>
    </xf>
    <xf numFmtId="0" fontId="120" fillId="0" borderId="12" xfId="8" applyFont="1" applyBorder="1" applyAlignment="1" applyProtection="1">
      <alignment horizontal="center" vertical="center" wrapText="1" shrinkToFit="1"/>
      <protection locked="0"/>
    </xf>
    <xf numFmtId="0" fontId="120" fillId="0" borderId="146" xfId="8" applyFont="1" applyBorder="1" applyAlignment="1" applyProtection="1">
      <alignment horizontal="center" vertical="center" wrapText="1" shrinkToFit="1"/>
      <protection locked="0"/>
    </xf>
    <xf numFmtId="0" fontId="120" fillId="0" borderId="147" xfId="8" applyFont="1" applyBorder="1" applyAlignment="1" applyProtection="1">
      <alignment horizontal="center" vertical="center" wrapText="1" shrinkToFit="1"/>
      <protection locked="0"/>
    </xf>
    <xf numFmtId="0" fontId="115" fillId="0" borderId="271" xfId="8" applyFont="1" applyBorder="1" applyAlignment="1" applyProtection="1">
      <alignment horizontal="center" vertical="center" shrinkToFit="1"/>
      <protection locked="0"/>
    </xf>
    <xf numFmtId="0" fontId="115" fillId="0" borderId="38" xfId="8" applyFont="1" applyBorder="1" applyAlignment="1" applyProtection="1">
      <alignment horizontal="center" vertical="center" shrinkToFit="1"/>
      <protection locked="0"/>
    </xf>
    <xf numFmtId="0" fontId="115" fillId="0" borderId="148" xfId="8" applyFont="1" applyBorder="1" applyAlignment="1" applyProtection="1">
      <alignment horizontal="center" vertical="center" shrinkToFit="1"/>
      <protection locked="0"/>
    </xf>
    <xf numFmtId="0" fontId="129" fillId="0" borderId="154" xfId="8" applyFont="1" applyBorder="1" applyAlignment="1" applyProtection="1">
      <alignment horizontal="center" vertical="center"/>
      <protection locked="0"/>
    </xf>
    <xf numFmtId="0" fontId="129" fillId="0" borderId="72" xfId="8" applyFont="1" applyBorder="1" applyAlignment="1" applyProtection="1">
      <alignment horizontal="center" vertical="center"/>
      <protection locked="0"/>
    </xf>
    <xf numFmtId="0" fontId="129" fillId="0" borderId="73" xfId="8" applyFont="1" applyBorder="1" applyAlignment="1" applyProtection="1">
      <alignment horizontal="center" vertical="center"/>
      <protection locked="0"/>
    </xf>
    <xf numFmtId="0" fontId="129" fillId="0" borderId="13" xfId="8" applyFont="1" applyBorder="1" applyAlignment="1" applyProtection="1">
      <alignment horizontal="center" vertical="center"/>
      <protection locked="0"/>
    </xf>
    <xf numFmtId="0" fontId="129" fillId="0" borderId="0" xfId="8" applyFont="1" applyBorder="1" applyAlignment="1" applyProtection="1">
      <alignment horizontal="center" vertical="center"/>
      <protection locked="0"/>
    </xf>
    <xf numFmtId="0" fontId="129" fillId="0" borderId="9" xfId="8" applyFont="1" applyBorder="1" applyAlignment="1" applyProtection="1">
      <alignment horizontal="center" vertical="center"/>
      <protection locked="0"/>
    </xf>
    <xf numFmtId="0" fontId="129" fillId="0" borderId="146" xfId="8" applyFont="1" applyBorder="1" applyAlignment="1" applyProtection="1">
      <alignment horizontal="center" vertical="center"/>
      <protection locked="0"/>
    </xf>
    <xf numFmtId="0" fontId="129" fillId="0" borderId="69" xfId="8" applyFont="1" applyBorder="1" applyAlignment="1" applyProtection="1">
      <alignment horizontal="center" vertical="center"/>
      <protection locked="0"/>
    </xf>
    <xf numFmtId="0" fontId="129" fillId="0" borderId="74" xfId="8" applyFont="1" applyBorder="1" applyAlignment="1" applyProtection="1">
      <alignment horizontal="center" vertical="center"/>
      <protection locked="0"/>
    </xf>
    <xf numFmtId="0" fontId="121" fillId="0" borderId="38" xfId="8" applyFont="1" applyFill="1" applyBorder="1" applyAlignment="1" applyProtection="1">
      <alignment horizontal="center" vertical="center" shrinkToFit="1"/>
      <protection locked="0"/>
    </xf>
    <xf numFmtId="0" fontId="121" fillId="0" borderId="275" xfId="8" applyFont="1" applyFill="1" applyBorder="1" applyAlignment="1" applyProtection="1">
      <alignment horizontal="center" vertical="center" shrinkToFit="1"/>
      <protection locked="0"/>
    </xf>
    <xf numFmtId="49" fontId="101" fillId="0" borderId="81" xfId="8" applyNumberFormat="1" applyFont="1" applyBorder="1" applyAlignment="1" applyProtection="1">
      <alignment horizontal="center" vertical="center"/>
      <protection locked="0"/>
    </xf>
    <xf numFmtId="49" fontId="101" fillId="0" borderId="17" xfId="8" applyNumberFormat="1" applyFont="1" applyBorder="1" applyAlignment="1" applyProtection="1">
      <alignment horizontal="center" vertical="center"/>
      <protection locked="0"/>
    </xf>
    <xf numFmtId="49" fontId="101" fillId="0" borderId="53" xfId="8" applyNumberFormat="1" applyFont="1" applyBorder="1" applyAlignment="1" applyProtection="1">
      <alignment horizontal="center" vertical="center"/>
      <protection locked="0"/>
    </xf>
    <xf numFmtId="0" fontId="129" fillId="0" borderId="154" xfId="8" applyFont="1" applyBorder="1" applyAlignment="1" applyProtection="1">
      <alignment horizontal="center" vertical="center" wrapText="1"/>
      <protection locked="0"/>
    </xf>
    <xf numFmtId="0" fontId="101" fillId="0" borderId="179" xfId="8" applyFont="1" applyBorder="1" applyAlignment="1">
      <alignment horizontal="center" vertical="center"/>
    </xf>
    <xf numFmtId="0" fontId="101" fillId="0" borderId="70" xfId="8" applyFont="1" applyBorder="1" applyAlignment="1">
      <alignment horizontal="center" vertical="center"/>
    </xf>
    <xf numFmtId="0" fontId="101" fillId="0" borderId="178" xfId="8" applyFont="1" applyBorder="1" applyAlignment="1">
      <alignment horizontal="center" vertical="center" wrapText="1"/>
    </xf>
    <xf numFmtId="0" fontId="101" fillId="0" borderId="70" xfId="8" applyFont="1" applyBorder="1" applyAlignment="1">
      <alignment horizontal="center" vertical="center" wrapText="1"/>
    </xf>
    <xf numFmtId="0" fontId="152" fillId="0" borderId="69" xfId="8" applyFont="1" applyBorder="1" applyAlignment="1">
      <alignment horizontal="center" vertical="center" wrapText="1"/>
    </xf>
    <xf numFmtId="0" fontId="101" fillId="0" borderId="272" xfId="8" applyFont="1" applyBorder="1" applyAlignment="1">
      <alignment horizontal="center" vertical="center"/>
    </xf>
    <xf numFmtId="0" fontId="121" fillId="0" borderId="270" xfId="8" applyFont="1" applyBorder="1" applyAlignment="1">
      <alignment horizontal="center" vertical="center"/>
    </xf>
    <xf numFmtId="0" fontId="121" fillId="0" borderId="238" xfId="8" applyFont="1" applyBorder="1" applyAlignment="1">
      <alignment horizontal="center" vertical="center"/>
    </xf>
    <xf numFmtId="0" fontId="152" fillId="0" borderId="69" xfId="8" applyFont="1" applyBorder="1" applyAlignment="1">
      <alignment horizontal="left" vertical="center" wrapText="1"/>
    </xf>
    <xf numFmtId="0" fontId="152" fillId="0" borderId="0" xfId="8" applyFont="1" applyBorder="1" applyAlignment="1">
      <alignment horizontal="left" vertical="center"/>
    </xf>
    <xf numFmtId="0" fontId="152" fillId="0" borderId="0" xfId="8" applyFont="1" applyBorder="1" applyAlignment="1">
      <alignment horizontal="center" vertical="center"/>
    </xf>
    <xf numFmtId="0" fontId="152" fillId="0" borderId="0" xfId="8" applyFont="1" applyBorder="1" applyAlignment="1">
      <alignment horizontal="center" vertical="center" wrapText="1"/>
    </xf>
    <xf numFmtId="0" fontId="101" fillId="0" borderId="227" xfId="8" applyFont="1" applyBorder="1" applyAlignment="1">
      <alignment horizontal="center" vertical="center" wrapText="1"/>
    </xf>
    <xf numFmtId="0" fontId="101" fillId="0" borderId="226" xfId="8" applyFont="1" applyBorder="1" applyAlignment="1">
      <alignment horizontal="center" vertical="center" wrapText="1"/>
    </xf>
    <xf numFmtId="0" fontId="101" fillId="0" borderId="228" xfId="8" applyFont="1" applyBorder="1" applyAlignment="1">
      <alignment horizontal="center" vertical="center" wrapText="1"/>
    </xf>
    <xf numFmtId="0" fontId="101" fillId="0" borderId="71" xfId="8" applyFont="1" applyBorder="1" applyAlignment="1">
      <alignment horizontal="center" vertical="center" wrapText="1"/>
    </xf>
    <xf numFmtId="0" fontId="152" fillId="0" borderId="0" xfId="8" applyFont="1" applyAlignment="1">
      <alignment horizontal="left" vertical="center"/>
    </xf>
    <xf numFmtId="182" fontId="149" fillId="0" borderId="0" xfId="8" applyNumberFormat="1" applyFont="1" applyBorder="1" applyAlignment="1">
      <alignment horizontal="center" vertical="center" shrinkToFit="1"/>
    </xf>
    <xf numFmtId="0" fontId="152" fillId="0" borderId="0" xfId="8" applyFont="1" applyBorder="1" applyAlignment="1">
      <alignment horizontal="left" vertical="center" wrapText="1"/>
    </xf>
    <xf numFmtId="0" fontId="121" fillId="0" borderId="0" xfId="8" applyFont="1" applyBorder="1" applyAlignment="1">
      <alignment horizontal="left" vertical="center"/>
    </xf>
    <xf numFmtId="0" fontId="121" fillId="0" borderId="64" xfId="8" applyFont="1" applyBorder="1" applyAlignment="1">
      <alignment horizontal="left" vertical="center"/>
    </xf>
    <xf numFmtId="0" fontId="101" fillId="0" borderId="225" xfId="8" applyFont="1" applyBorder="1" applyAlignment="1">
      <alignment horizontal="center" vertical="center"/>
    </xf>
    <xf numFmtId="0" fontId="101" fillId="0" borderId="226" xfId="8" applyFont="1" applyBorder="1" applyAlignment="1">
      <alignment horizontal="center" vertical="center"/>
    </xf>
    <xf numFmtId="0" fontId="101" fillId="0" borderId="228" xfId="8" applyFont="1" applyBorder="1" applyAlignment="1">
      <alignment horizontal="center" vertical="center"/>
    </xf>
    <xf numFmtId="0" fontId="101" fillId="0" borderId="71" xfId="8" applyFont="1" applyBorder="1" applyAlignment="1">
      <alignment horizontal="center" vertical="center"/>
    </xf>
    <xf numFmtId="0" fontId="121" fillId="0" borderId="66" xfId="8" applyFont="1" applyBorder="1" applyAlignment="1">
      <alignment horizontal="left" vertical="center"/>
    </xf>
    <xf numFmtId="0" fontId="121" fillId="0" borderId="67" xfId="8" applyFont="1" applyBorder="1" applyAlignment="1">
      <alignment horizontal="left" vertical="center"/>
    </xf>
    <xf numFmtId="0" fontId="133" fillId="0" borderId="69" xfId="8" applyFont="1" applyBorder="1" applyAlignment="1">
      <alignment horizontal="center" vertical="center"/>
    </xf>
    <xf numFmtId="0" fontId="101" fillId="0" borderId="222" xfId="8" applyFont="1" applyBorder="1" applyAlignment="1">
      <alignment horizontal="center" vertical="center"/>
    </xf>
    <xf numFmtId="0" fontId="101" fillId="0" borderId="223" xfId="8" applyFont="1" applyBorder="1" applyAlignment="1">
      <alignment horizontal="center" vertical="center"/>
    </xf>
    <xf numFmtId="0" fontId="132" fillId="0" borderId="72" xfId="8" applyFont="1" applyBorder="1" applyAlignment="1">
      <alignment horizontal="center" vertical="center"/>
    </xf>
    <xf numFmtId="0" fontId="132" fillId="0" borderId="73" xfId="8" applyFont="1" applyBorder="1" applyAlignment="1">
      <alignment horizontal="center" vertical="center"/>
    </xf>
    <xf numFmtId="0" fontId="132" fillId="0" borderId="0" xfId="8" applyFont="1" applyBorder="1" applyAlignment="1">
      <alignment horizontal="center" vertical="center"/>
    </xf>
    <xf numFmtId="0" fontId="132" fillId="0" borderId="9" xfId="8" applyFont="1" applyBorder="1" applyAlignment="1">
      <alignment horizontal="center" vertical="center"/>
    </xf>
    <xf numFmtId="0" fontId="121" fillId="0" borderId="60" xfId="8" applyFont="1" applyBorder="1" applyAlignment="1">
      <alignment horizontal="center" vertical="center"/>
    </xf>
    <xf numFmtId="0" fontId="121" fillId="0" borderId="61" xfId="8" applyFont="1" applyBorder="1" applyAlignment="1">
      <alignment horizontal="center" vertical="center"/>
    </xf>
    <xf numFmtId="49" fontId="99" fillId="0" borderId="0" xfId="0" applyNumberFormat="1" applyFont="1" applyBorder="1" applyAlignment="1" applyProtection="1">
      <alignment horizontal="left" vertical="center"/>
      <protection locked="0"/>
    </xf>
    <xf numFmtId="49" fontId="99" fillId="0" borderId="0" xfId="0" applyNumberFormat="1" applyFont="1" applyBorder="1" applyAlignment="1">
      <alignment horizontal="left" vertical="center"/>
    </xf>
    <xf numFmtId="0" fontId="99" fillId="0" borderId="0" xfId="0" applyNumberFormat="1" applyFont="1" applyBorder="1" applyAlignment="1" applyProtection="1">
      <alignment horizontal="right" vertical="center"/>
      <protection locked="0"/>
    </xf>
    <xf numFmtId="49" fontId="99" fillId="0" borderId="0" xfId="0" applyNumberFormat="1" applyFont="1" applyBorder="1" applyAlignment="1">
      <alignment horizontal="right" vertical="center"/>
    </xf>
    <xf numFmtId="49" fontId="121" fillId="0" borderId="0" xfId="0" applyNumberFormat="1" applyFont="1" applyBorder="1" applyAlignment="1" applyProtection="1">
      <alignment horizontal="right" vertical="center"/>
      <protection locked="0"/>
    </xf>
    <xf numFmtId="49" fontId="153" fillId="8" borderId="0" xfId="0" applyNumberFormat="1" applyFont="1" applyFill="1" applyBorder="1" applyAlignment="1">
      <alignment horizontal="center" vertical="center"/>
    </xf>
    <xf numFmtId="49" fontId="121" fillId="0" borderId="0" xfId="0" applyNumberFormat="1" applyFont="1" applyBorder="1" applyAlignment="1" applyProtection="1">
      <alignment horizontal="center" vertical="center"/>
      <protection locked="0"/>
    </xf>
    <xf numFmtId="183" fontId="154" fillId="0" borderId="0" xfId="0" applyNumberFormat="1" applyFont="1" applyFill="1" applyBorder="1" applyAlignment="1" applyProtection="1">
      <alignment horizontal="center" vertical="center"/>
      <protection locked="0"/>
    </xf>
    <xf numFmtId="0" fontId="154" fillId="0" borderId="0" xfId="0" applyNumberFormat="1" applyFont="1" applyFill="1" applyBorder="1" applyAlignment="1" applyProtection="1">
      <alignment horizontal="center" vertical="center"/>
      <protection locked="0"/>
    </xf>
    <xf numFmtId="0" fontId="135" fillId="0" borderId="0" xfId="0" applyNumberFormat="1" applyFont="1" applyFill="1" applyBorder="1" applyAlignment="1" applyProtection="1">
      <alignment horizontal="center" vertical="center"/>
      <protection locked="0"/>
    </xf>
    <xf numFmtId="49" fontId="99" fillId="0" borderId="0" xfId="0" applyNumberFormat="1" applyFont="1" applyFill="1" applyBorder="1" applyAlignment="1" applyProtection="1">
      <alignment horizontal="right" vertical="center"/>
      <protection locked="0"/>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649">
    <dxf>
      <font>
        <b/>
        <i val="0"/>
      </font>
      <fill>
        <patternFill>
          <bgColor rgb="FFFFFF00"/>
        </patternFill>
      </fill>
    </dxf>
    <dxf>
      <font>
        <b/>
        <i val="0"/>
        <color theme="0"/>
      </font>
      <fill>
        <patternFill>
          <bgColor rgb="FFFF0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8" tint="0.59996337778862885"/>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color theme="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ill>
        <patternFill>
          <bgColor theme="9" tint="0.39994506668294322"/>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ill>
        <patternFill>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ont>
        <color theme="0"/>
      </font>
    </dxf>
    <dxf>
      <font>
        <color theme="2" tint="-9.9948118533890809E-2"/>
        <name val="ＭＳ Ｐゴシック"/>
        <scheme val="none"/>
      </font>
    </dxf>
    <dxf>
      <fill>
        <patternFill>
          <bgColor theme="9" tint="0.39994506668294322"/>
        </patternFill>
      </fill>
    </dxf>
    <dxf>
      <fill>
        <patternFill>
          <bgColor theme="9" tint="0.39994506668294322"/>
        </patternFill>
      </fill>
    </dxf>
    <dxf>
      <font>
        <color theme="0"/>
      </font>
    </dxf>
    <dxf>
      <font>
        <strike val="0"/>
        <color theme="0"/>
      </font>
    </dxf>
    <dxf>
      <fill>
        <patternFill>
          <bgColor theme="9" tint="0.39994506668294322"/>
        </patternFill>
      </fill>
    </dxf>
    <dxf>
      <font>
        <color theme="0"/>
      </font>
      <fill>
        <patternFill patternType="none">
          <bgColor auto="1"/>
        </patternFill>
      </fill>
    </dxf>
    <dxf>
      <font>
        <color theme="0"/>
      </font>
    </dxf>
    <dxf>
      <font>
        <color theme="0"/>
      </font>
    </dxf>
    <dxf>
      <font>
        <color theme="2" tint="-9.9948118533890809E-2"/>
        <name val="ＭＳ Ｐゴシック"/>
        <scheme val="none"/>
      </font>
    </dxf>
    <dxf>
      <fill>
        <patternFill>
          <bgColor theme="9" tint="0.39994506668294322"/>
        </patternFill>
      </fill>
    </dxf>
    <dxf>
      <font>
        <color theme="0"/>
      </font>
    </dxf>
    <dxf>
      <font>
        <color theme="0"/>
      </font>
    </dxf>
    <dxf>
      <font>
        <color theme="2" tint="-9.9948118533890809E-2"/>
        <name val="ＭＳ Ｐゴシック"/>
        <scheme val="none"/>
      </font>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color theme="0"/>
        <name val="ＭＳ Ｐゴシック"/>
        <scheme val="none"/>
      </font>
    </dxf>
    <dxf>
      <font>
        <strike val="0"/>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1"/>
        </patternFill>
      </fill>
    </dxf>
    <dxf>
      <fill>
        <patternFill>
          <bgColor theme="9"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1"/>
        </patternFill>
      </fill>
    </dxf>
    <dxf>
      <fill>
        <patternFill>
          <bgColor theme="9"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1"/>
        </patternFill>
      </fill>
    </dxf>
    <dxf>
      <fill>
        <patternFill>
          <bgColor theme="9"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1"/>
        </patternFill>
      </fill>
    </dxf>
    <dxf>
      <fill>
        <patternFill>
          <bgColor theme="1"/>
        </patternFill>
      </fill>
    </dxf>
    <dxf>
      <fill>
        <patternFill>
          <bgColor theme="9"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9" tint="0.39994506668294322"/>
        </patternFill>
      </fill>
    </dxf>
    <dxf>
      <fill>
        <patternFill>
          <bgColor theme="9" tint="0.39994506668294322"/>
        </patternFill>
      </fill>
    </dxf>
    <dxf>
      <font>
        <color theme="0"/>
      </font>
      <fill>
        <patternFill>
          <bgColor rgb="FFC00000"/>
        </patternFill>
      </fill>
    </dxf>
    <dxf>
      <fill>
        <patternFill>
          <bgColor theme="9" tint="0.3999450666829432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ont>
        <color theme="0"/>
      </font>
      <fill>
        <patternFill>
          <bgColor rgb="FFC00000"/>
        </patternFill>
      </fill>
      <border>
        <left style="thin">
          <color rgb="FFC00000"/>
        </left>
        <right style="thin">
          <color rgb="FFC00000"/>
        </right>
        <top style="thin">
          <color rgb="FFC00000"/>
        </top>
        <bottom style="thin">
          <color rgb="FFC00000"/>
        </bottom>
      </border>
    </dxf>
    <dxf>
      <fill>
        <patternFill>
          <bgColor theme="9" tint="0.39994506668294322"/>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theme="0"/>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rgb="FFFFFF00"/>
        </patternFill>
      </fill>
    </dxf>
    <dxf>
      <fill>
        <patternFill>
          <bgColor rgb="FFFFFF00"/>
        </patternFill>
      </fill>
    </dxf>
    <dxf>
      <font>
        <b/>
        <i val="0"/>
        <color theme="0"/>
      </font>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2" lockText="1" noThreeD="1"/>
</file>

<file path=xl/ctrlProps/ctrlProp101.xml><?xml version="1.0" encoding="utf-8"?>
<formControlPr xmlns="http://schemas.microsoft.com/office/spreadsheetml/2009/9/main" objectType="CheckBox" fmlaLink="$B$2"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fmlaLink="$B$54" lockText="1" noThreeD="1"/>
</file>

<file path=xl/ctrlProps/ctrlProp109.xml><?xml version="1.0" encoding="utf-8"?>
<formControlPr xmlns="http://schemas.microsoft.com/office/spreadsheetml/2009/9/main" objectType="CheckBox" fmlaLink="$B$55"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54" lockText="1" noThreeD="1"/>
</file>

<file path=xl/ctrlProps/ctrlProp111.xml><?xml version="1.0" encoding="utf-8"?>
<formControlPr xmlns="http://schemas.microsoft.com/office/spreadsheetml/2009/9/main" objectType="CheckBox" fmlaLink="$A$55"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V$5" lockText="1" noThreeD="1"/>
</file>

<file path=xl/ctrlProps/ctrlProp118.xml><?xml version="1.0" encoding="utf-8"?>
<formControlPr xmlns="http://schemas.microsoft.com/office/spreadsheetml/2009/9/main" objectType="CheckBox" fmlaLink="$V$6" lockText="1" noThreeD="1"/>
</file>

<file path=xl/ctrlProps/ctrlProp119.xml><?xml version="1.0" encoding="utf-8"?>
<formControlPr xmlns="http://schemas.microsoft.com/office/spreadsheetml/2009/9/main" objectType="CheckBox" fmlaLink="$V$7"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V$8" lockText="1" noThreeD="1"/>
</file>

<file path=xl/ctrlProps/ctrlProp121.xml><?xml version="1.0" encoding="utf-8"?>
<formControlPr xmlns="http://schemas.microsoft.com/office/spreadsheetml/2009/9/main" objectType="CheckBox" fmlaLink="$V$9" lockText="1" noThreeD="1"/>
</file>

<file path=xl/ctrlProps/ctrlProp122.xml><?xml version="1.0" encoding="utf-8"?>
<formControlPr xmlns="http://schemas.microsoft.com/office/spreadsheetml/2009/9/main" objectType="CheckBox" fmlaLink="$V$10" lockText="1" noThreeD="1"/>
</file>

<file path=xl/ctrlProps/ctrlProp123.xml><?xml version="1.0" encoding="utf-8"?>
<formControlPr xmlns="http://schemas.microsoft.com/office/spreadsheetml/2009/9/main" objectType="CheckBox" fmlaLink="$V$11" lockText="1" noThreeD="1"/>
</file>

<file path=xl/ctrlProps/ctrlProp124.xml><?xml version="1.0" encoding="utf-8"?>
<formControlPr xmlns="http://schemas.microsoft.com/office/spreadsheetml/2009/9/main" objectType="CheckBox" fmlaLink="$V$12" lockText="1" noThreeD="1"/>
</file>

<file path=xl/ctrlProps/ctrlProp125.xml><?xml version="1.0" encoding="utf-8"?>
<formControlPr xmlns="http://schemas.microsoft.com/office/spreadsheetml/2009/9/main" objectType="CheckBox" fmlaLink="$V$13" lockText="1" noThreeD="1"/>
</file>

<file path=xl/ctrlProps/ctrlProp126.xml><?xml version="1.0" encoding="utf-8"?>
<formControlPr xmlns="http://schemas.microsoft.com/office/spreadsheetml/2009/9/main" objectType="CheckBox" fmlaLink="$V$14" lockText="1" noThreeD="1"/>
</file>

<file path=xl/ctrlProps/ctrlProp127.xml><?xml version="1.0" encoding="utf-8"?>
<formControlPr xmlns="http://schemas.microsoft.com/office/spreadsheetml/2009/9/main" objectType="CheckBox" fmlaLink="$V$15" lockText="1" noThreeD="1"/>
</file>

<file path=xl/ctrlProps/ctrlProp128.xml><?xml version="1.0" encoding="utf-8"?>
<formControlPr xmlns="http://schemas.microsoft.com/office/spreadsheetml/2009/9/main" objectType="CheckBox" fmlaLink="$V$16" lockText="1" noThreeD="1"/>
</file>

<file path=xl/ctrlProps/ctrlProp129.xml><?xml version="1.0" encoding="utf-8"?>
<formControlPr xmlns="http://schemas.microsoft.com/office/spreadsheetml/2009/9/main" objectType="CheckBox" fmlaLink="$V$17"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fmlaLink="$V$18" lockText="1" noThreeD="1"/>
</file>

<file path=xl/ctrlProps/ctrlProp131.xml><?xml version="1.0" encoding="utf-8"?>
<formControlPr xmlns="http://schemas.microsoft.com/office/spreadsheetml/2009/9/main" objectType="CheckBox" fmlaLink="$Z$17" lockText="1" noThreeD="1"/>
</file>

<file path=xl/ctrlProps/ctrlProp132.xml><?xml version="1.0" encoding="utf-8"?>
<formControlPr xmlns="http://schemas.microsoft.com/office/spreadsheetml/2009/9/main" objectType="CheckBox" fmlaLink="$Z$18"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R$40" lockText="1" noThreeD="1"/>
</file>

<file path=xl/ctrlProps/ctrlProp27.xml><?xml version="1.0" encoding="utf-8"?>
<formControlPr xmlns="http://schemas.microsoft.com/office/spreadsheetml/2009/9/main" objectType="CheckBox" fmlaLink="$T$40" lockText="1" noThreeD="1"/>
</file>

<file path=xl/ctrlProps/ctrlProp28.xml><?xml version="1.0" encoding="utf-8"?>
<formControlPr xmlns="http://schemas.microsoft.com/office/spreadsheetml/2009/9/main" objectType="CheckBox" fmlaLink="$S$40" lockText="1" noThreeD="1"/>
</file>

<file path=xl/ctrlProps/ctrlProp29.xml><?xml version="1.0" encoding="utf-8"?>
<formControlPr xmlns="http://schemas.microsoft.com/office/spreadsheetml/2009/9/main" objectType="CheckBox" fmlaLink="$U$4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X$38"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N$20"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28575</xdr:rowOff>
        </xdr:from>
        <xdr:to>
          <xdr:col>2</xdr:col>
          <xdr:colOff>57150</xdr:colOff>
          <xdr:row>21</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2</xdr:col>
          <xdr:colOff>57150</xdr:colOff>
          <xdr:row>24</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2</xdr:col>
          <xdr:colOff>57150</xdr:colOff>
          <xdr:row>26</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19050</xdr:rowOff>
        </xdr:from>
        <xdr:to>
          <xdr:col>28</xdr:col>
          <xdr:colOff>57150</xdr:colOff>
          <xdr:row>26</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28575</xdr:rowOff>
        </xdr:from>
        <xdr:to>
          <xdr:col>28</xdr:col>
          <xdr:colOff>57150</xdr:colOff>
          <xdr:row>21</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19050</xdr:rowOff>
        </xdr:from>
        <xdr:to>
          <xdr:col>7</xdr:col>
          <xdr:colOff>85725</xdr:colOff>
          <xdr:row>19</xdr:row>
          <xdr:rowOff>247650</xdr:rowOff>
        </xdr:to>
        <xdr:sp macro="" textlink="">
          <xdr:nvSpPr>
            <xdr:cNvPr id="31295" name="Check Box 1599" hidden="1">
              <a:extLst>
                <a:ext uri="{63B3BB69-23CF-44E3-9099-C40C66FF867C}">
                  <a14:compatExt spid="_x0000_s31295"/>
                </a:ext>
                <a:ext uri="{FF2B5EF4-FFF2-40B4-BE49-F238E27FC236}">
                  <a16:creationId xmlns:a16="http://schemas.microsoft.com/office/drawing/2014/main" id="{00000000-0008-0000-0100-00003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38100</xdr:rowOff>
        </xdr:from>
        <xdr:to>
          <xdr:col>33</xdr:col>
          <xdr:colOff>47625</xdr:colOff>
          <xdr:row>19</xdr:row>
          <xdr:rowOff>266700</xdr:rowOff>
        </xdr:to>
        <xdr:sp macro="" textlink="">
          <xdr:nvSpPr>
            <xdr:cNvPr id="31303" name="Check Box 1607" hidden="1">
              <a:extLst>
                <a:ext uri="{63B3BB69-23CF-44E3-9099-C40C66FF867C}">
                  <a14:compatExt spid="_x0000_s31303"/>
                </a:ext>
                <a:ext uri="{FF2B5EF4-FFF2-40B4-BE49-F238E27FC236}">
                  <a16:creationId xmlns:a16="http://schemas.microsoft.com/office/drawing/2014/main" id="{00000000-0008-0000-0100-00004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25</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25</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25</xdr:row>
          <xdr:rowOff>0</xdr:rowOff>
        </xdr:from>
        <xdr:to>
          <xdr:col>26</xdr:col>
          <xdr:colOff>0</xdr:colOff>
          <xdr:row>25</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51</xdr:row>
          <xdr:rowOff>152400</xdr:rowOff>
        </xdr:from>
        <xdr:to>
          <xdr:col>26</xdr:col>
          <xdr:colOff>0</xdr:colOff>
          <xdr:row>53</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52</xdr:row>
          <xdr:rowOff>152400</xdr:rowOff>
        </xdr:from>
        <xdr:to>
          <xdr:col>26</xdr:col>
          <xdr:colOff>0</xdr:colOff>
          <xdr:row>54</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0</xdr:rowOff>
        </xdr:from>
        <xdr:to>
          <xdr:col>27</xdr:col>
          <xdr:colOff>114300</xdr:colOff>
          <xdr:row>11</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10</xdr:row>
          <xdr:rowOff>152400</xdr:rowOff>
        </xdr:from>
        <xdr:to>
          <xdr:col>27</xdr:col>
          <xdr:colOff>114300</xdr:colOff>
          <xdr:row>12</xdr:row>
          <xdr:rowOff>38100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0</xdr:rowOff>
        </xdr:from>
        <xdr:to>
          <xdr:col>1</xdr:col>
          <xdr:colOff>76200</xdr:colOff>
          <xdr:row>10</xdr:row>
          <xdr:rowOff>152400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10</xdr:row>
          <xdr:rowOff>161925</xdr:rowOff>
        </xdr:from>
        <xdr:to>
          <xdr:col>1</xdr:col>
          <xdr:colOff>76200</xdr:colOff>
          <xdr:row>11</xdr:row>
          <xdr:rowOff>161925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3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3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190499</xdr:colOff>
      <xdr:row>0</xdr:row>
      <xdr:rowOff>28575</xdr:rowOff>
    </xdr:from>
    <xdr:to>
      <xdr:col>50</xdr:col>
      <xdr:colOff>257174</xdr:colOff>
      <xdr:row>0</xdr:row>
      <xdr:rowOff>288348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725524" y="28575"/>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rPr>
            <a:t>記入例</a:t>
          </a:r>
        </a:p>
      </xdr:txBody>
    </xdr:sp>
    <xdr:clientData/>
  </xdr:twoCellAnchor>
  <xdr:twoCellAnchor>
    <xdr:from>
      <xdr:col>38</xdr:col>
      <xdr:colOff>266701</xdr:colOff>
      <xdr:row>24</xdr:row>
      <xdr:rowOff>9526</xdr:rowOff>
    </xdr:from>
    <xdr:to>
      <xdr:col>50</xdr:col>
      <xdr:colOff>209551</xdr:colOff>
      <xdr:row>43</xdr:row>
      <xdr:rowOff>142874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137232" y="4617245"/>
          <a:ext cx="3467100" cy="39790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対応該当者がいない場合</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b="1" u="sng">
              <a:solidFill>
                <a:schemeClr val="dk1"/>
              </a:solidFill>
              <a:latin typeface="BIZ UDPゴシック" panose="020B0400000000000000" pitchFamily="50" charset="-128"/>
              <a:ea typeface="BIZ UDPゴシック" panose="020B0400000000000000" pitchFamily="50" charset="-128"/>
              <a:cs typeface="+mn-cs"/>
            </a:rPr>
            <a:t>本書の提出は不要です。</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【03</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食事申込書</a:t>
          </a:r>
          <a:r>
            <a:rPr kumimoji="1" lang="en-US" altLang="ja-JP"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上部にある「</a:t>
          </a:r>
          <a:r>
            <a:rPr kumimoji="1" lang="en-US" altLang="ja-JP" sz="1100" u="sng">
              <a:solidFill>
                <a:schemeClr val="dk1"/>
              </a:solidFill>
              <a:effectLst/>
              <a:latin typeface="BIZ UDPゴシック" panose="020B0400000000000000" pitchFamily="50" charset="-128"/>
              <a:ea typeface="BIZ UDPゴシック" panose="020B0400000000000000" pitchFamily="50" charset="-128"/>
              <a:cs typeface="+mn-cs"/>
            </a:rPr>
            <a:t>7</a:t>
          </a:r>
          <a:r>
            <a:rPr kumimoji="1" lang="ja-JP" altLang="ja-JP" sz="1100" u="sng">
              <a:solidFill>
                <a:schemeClr val="dk1"/>
              </a:solidFill>
              <a:effectLst/>
              <a:latin typeface="BIZ UDPゴシック" panose="020B0400000000000000" pitchFamily="50" charset="-128"/>
              <a:ea typeface="BIZ UDPゴシック" panose="020B0400000000000000" pitchFamily="50" charset="-128"/>
              <a:cs typeface="+mn-cs"/>
            </a:rPr>
            <a:t>大アレルゲン対象者の有無</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に　　</a:t>
          </a:r>
          <a:endParaRPr kumimoji="1" lang="en-US" altLang="ja-JP" sz="1100" u="none">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u="none">
              <a:solidFill>
                <a:schemeClr val="dk1"/>
              </a:solidFill>
              <a:latin typeface="BIZ UDPゴシック" panose="020B0400000000000000" pitchFamily="50" charset="-128"/>
              <a:ea typeface="BIZ UDPゴシック" panose="020B0400000000000000" pitchFamily="50" charset="-128"/>
              <a:cs typeface="+mn-cs"/>
            </a:rPr>
            <a:t>　　</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「無」とチェックを入れてください。</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700"/>
            </a:lnSpc>
          </a:pPr>
          <a:r>
            <a:rPr kumimoji="1" lang="ja-JP" altLang="ja-JP" sz="1400" b="1">
              <a:solidFill>
                <a:schemeClr val="dk1"/>
              </a:solidFill>
              <a:latin typeface="BIZ UDPゴシック" panose="020B0400000000000000" pitchFamily="50" charset="-128"/>
              <a:ea typeface="BIZ UDPゴシック" panose="020B0400000000000000" pitchFamily="50" charset="-128"/>
              <a:cs typeface="+mn-cs"/>
            </a:rPr>
            <a:t>■</a:t>
          </a:r>
          <a:r>
            <a:rPr kumimoji="1" lang="ja-JP" altLang="en-US" sz="1400" b="1">
              <a:solidFill>
                <a:schemeClr val="dk1"/>
              </a:solidFill>
              <a:latin typeface="BIZ UDPゴシック" panose="020B0400000000000000" pitchFamily="50" charset="-128"/>
              <a:ea typeface="BIZ UDPゴシック" panose="020B0400000000000000" pitchFamily="50" charset="-128"/>
              <a:cs typeface="+mn-cs"/>
            </a:rPr>
            <a:t>本書の対象者について</a:t>
          </a:r>
          <a:endParaRPr kumimoji="1" lang="en-US" altLang="ja-JP" sz="1400" b="1">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上記、加熱した「卵（鳥）」「小麦」「えび」「乳（牛）」</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要対応アレルゲン４種類</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の</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成分に支障</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が</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ある場</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　　</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合のみ、対象者</a:t>
          </a:r>
          <a:r>
            <a:rPr kumimoji="1" lang="ja-JP" altLang="en-US" sz="1100">
              <a:solidFill>
                <a:schemeClr val="dk1"/>
              </a:solidFill>
              <a:latin typeface="BIZ UDPゴシック" panose="020B0400000000000000" pitchFamily="50" charset="-128"/>
              <a:ea typeface="BIZ UDPゴシック" panose="020B0400000000000000" pitchFamily="50" charset="-128"/>
              <a:cs typeface="+mn-cs"/>
            </a:rPr>
            <a:t>となります</a:t>
          </a:r>
          <a:r>
            <a:rPr kumimoji="1" lang="ja-JP" altLang="ja-JP" sz="1100">
              <a:solidFill>
                <a:schemeClr val="dk1"/>
              </a:solidFill>
              <a:latin typeface="BIZ UDPゴシック" panose="020B0400000000000000" pitchFamily="50" charset="-128"/>
              <a:ea typeface="BIZ UDPゴシック" panose="020B0400000000000000" pitchFamily="50" charset="-128"/>
              <a:cs typeface="+mn-cs"/>
            </a:rPr>
            <a:t>。</a:t>
          </a:r>
          <a:endParaRPr kumimoji="1" lang="en-US" altLang="ja-JP" sz="110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　　生のみに支障があり、加熱した食材や成分に支障</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r>
            <a:rPr kumimoji="1" lang="ja-JP" altLang="en-US" sz="1100" baseline="0">
              <a:solidFill>
                <a:schemeClr val="dk1"/>
              </a:solidFill>
              <a:latin typeface="BIZ UDPゴシック" panose="020B0400000000000000" pitchFamily="50" charset="-128"/>
              <a:ea typeface="BIZ UDPゴシック" panose="020B0400000000000000" pitchFamily="50" charset="-128"/>
              <a:cs typeface="+mn-cs"/>
            </a:rPr>
            <a:t>　　がない場合は、対象外</a:t>
          </a:r>
          <a:r>
            <a:rPr kumimoji="1" lang="ja-JP" altLang="ja-JP" sz="1100" baseline="0">
              <a:solidFill>
                <a:schemeClr val="dk1"/>
              </a:solidFill>
              <a:latin typeface="BIZ UDPゴシック" panose="020B0400000000000000" pitchFamily="50" charset="-128"/>
              <a:ea typeface="BIZ UDPゴシック" panose="020B0400000000000000" pitchFamily="50" charset="-128"/>
              <a:cs typeface="+mn-cs"/>
            </a:rPr>
            <a:t>です。</a:t>
          </a:r>
          <a:endParaRPr kumimoji="1" lang="en-US" altLang="ja-JP" sz="1100" baseline="0">
            <a:solidFill>
              <a:schemeClr val="dk1"/>
            </a:solidFill>
            <a:latin typeface="BIZ UDPゴシック" panose="020B0400000000000000" pitchFamily="50" charset="-128"/>
            <a:ea typeface="BIZ UDPゴシック" panose="020B0400000000000000" pitchFamily="50" charset="-128"/>
            <a:cs typeface="+mn-cs"/>
          </a:endParaRPr>
        </a:p>
        <a:p>
          <a:pPr algn="l">
            <a:lnSpc>
              <a:spcPts val="1300"/>
            </a:lnSpc>
          </a:pPr>
          <a:endParaRPr kumimoji="1" lang="en-US" altLang="ja-JP" sz="1100" baseline="0">
            <a:latin typeface="BIZ UDPゴシック" panose="020B0400000000000000" pitchFamily="50" charset="-128"/>
            <a:ea typeface="BIZ UDPゴシック" panose="020B0400000000000000" pitchFamily="50" charset="-128"/>
          </a:endParaRPr>
        </a:p>
        <a:p>
          <a:pPr algn="l">
            <a:lnSpc>
              <a:spcPts val="1700"/>
            </a:lnSpc>
          </a:pPr>
          <a:r>
            <a:rPr kumimoji="1" lang="ja-JP" altLang="en-US" sz="1400" b="1" baseline="0">
              <a:latin typeface="BIZ UDPゴシック" panose="020B0400000000000000" pitchFamily="50" charset="-128"/>
              <a:ea typeface="BIZ UDPゴシック" panose="020B0400000000000000" pitchFamily="50" charset="-128"/>
            </a:rPr>
            <a:t>■対応内容の記入について</a:t>
          </a:r>
          <a:endParaRPr kumimoji="1" lang="en-US" altLang="ja-JP" sz="1400" b="1" baseline="0">
            <a:latin typeface="BIZ UDPゴシック" panose="020B0400000000000000" pitchFamily="50" charset="-128"/>
            <a:ea typeface="BIZ UDPゴシック" panose="020B0400000000000000" pitchFamily="50" charset="-128"/>
          </a:endParaRPr>
        </a:p>
        <a:p>
          <a:pPr algn="l">
            <a:lnSpc>
              <a:spcPts val="1300"/>
            </a:lnSpc>
          </a:pPr>
          <a:r>
            <a:rPr kumimoji="1" lang="ja-JP" altLang="en-US" sz="1100" baseline="0">
              <a:latin typeface="BIZ UDPゴシック" panose="020B0400000000000000" pitchFamily="50" charset="-128"/>
              <a:ea typeface="BIZ UDPゴシック" panose="020B0400000000000000" pitchFamily="50" charset="-128"/>
            </a:rPr>
            <a:t>　 対象者には、対象食材と対応内容を記入して返信　</a:t>
          </a:r>
          <a:endParaRPr kumimoji="1" lang="en-US" altLang="ja-JP" sz="1100" baseline="0">
            <a:latin typeface="BIZ UDPゴシック" panose="020B0400000000000000" pitchFamily="50" charset="-128"/>
            <a:ea typeface="BIZ UDPゴシック" panose="020B0400000000000000" pitchFamily="50" charset="-128"/>
          </a:endParaRPr>
        </a:p>
        <a:p>
          <a:pPr algn="l">
            <a:lnSpc>
              <a:spcPts val="1300"/>
            </a:lnSpc>
          </a:pPr>
          <a:r>
            <a:rPr kumimoji="1" lang="ja-JP" altLang="en-US" sz="1100" baseline="0">
              <a:latin typeface="BIZ UDPゴシック" panose="020B0400000000000000" pitchFamily="50" charset="-128"/>
              <a:ea typeface="BIZ UDPゴシック" panose="020B0400000000000000" pitchFamily="50" charset="-128"/>
            </a:rPr>
            <a:t>　　します。</a:t>
          </a:r>
          <a:endParaRPr kumimoji="1" lang="en-US" altLang="ja-JP" sz="1100" baseline="0"/>
        </a:p>
      </xdr:txBody>
    </xdr:sp>
    <xdr:clientData/>
  </xdr:twoCellAnchor>
  <xdr:twoCellAnchor>
    <xdr:from>
      <xdr:col>49</xdr:col>
      <xdr:colOff>157162</xdr:colOff>
      <xdr:row>13</xdr:row>
      <xdr:rowOff>80964</xdr:rowOff>
    </xdr:from>
    <xdr:to>
      <xdr:col>53</xdr:col>
      <xdr:colOff>133350</xdr:colOff>
      <xdr:row>17</xdr:row>
      <xdr:rowOff>97633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5278100" y="2605089"/>
          <a:ext cx="1905000" cy="68341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BIZ UDPゴシック" panose="020B0400000000000000" pitchFamily="50" charset="-128"/>
              <a:ea typeface="BIZ UDPゴシック" panose="020B0400000000000000" pitchFamily="50" charset="-128"/>
            </a:rPr>
            <a:t>いつ、なにを食べるかを</a:t>
          </a:r>
          <a:endParaRPr kumimoji="1" lang="en-US" altLang="ja-JP" sz="1100">
            <a:latin typeface="BIZ UDPゴシック" panose="020B0400000000000000" pitchFamily="50" charset="-128"/>
            <a:ea typeface="BIZ UDPゴシック" panose="020B0400000000000000" pitchFamily="50" charset="-128"/>
          </a:endParaRPr>
        </a:p>
        <a:p>
          <a:pPr algn="ctr">
            <a:lnSpc>
              <a:spcPts val="1300"/>
            </a:lnSpc>
          </a:pPr>
          <a:r>
            <a:rPr kumimoji="1" lang="ja-JP" altLang="en-US" sz="1100">
              <a:latin typeface="BIZ UDPゴシック" panose="020B0400000000000000" pitchFamily="50" charset="-128"/>
              <a:ea typeface="BIZ UDPゴシック" panose="020B0400000000000000" pitchFamily="50" charset="-128"/>
            </a:rPr>
            <a:t>選択・記入してください。</a:t>
          </a:r>
        </a:p>
      </xdr:txBody>
    </xdr:sp>
    <xdr:clientData/>
  </xdr:twoCellAnchor>
  <xdr:twoCellAnchor>
    <xdr:from>
      <xdr:col>29</xdr:col>
      <xdr:colOff>238125</xdr:colOff>
      <xdr:row>21</xdr:row>
      <xdr:rowOff>152399</xdr:rowOff>
    </xdr:from>
    <xdr:to>
      <xdr:col>38</xdr:col>
      <xdr:colOff>200025</xdr:colOff>
      <xdr:row>37</xdr:row>
      <xdr:rowOff>35718</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9977438" y="5069680"/>
          <a:ext cx="2545556" cy="312181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300"/>
            </a:lnSpc>
          </a:pPr>
          <a:r>
            <a:rPr kumimoji="1" lang="ja-JP" altLang="en-US" sz="1100" b="1">
              <a:latin typeface="BIZ UDPゴシック" panose="020B0400000000000000" pitchFamily="50" charset="-128"/>
              <a:ea typeface="BIZ UDPゴシック" panose="020B0400000000000000" pitchFamily="50" charset="-128"/>
            </a:rPr>
            <a:t>◎</a:t>
          </a:r>
          <a:r>
            <a:rPr kumimoji="1" lang="en-US" altLang="ja-JP" sz="1100" b="1">
              <a:latin typeface="BIZ UDPゴシック" panose="020B0400000000000000" pitchFamily="50" charset="-128"/>
              <a:ea typeface="BIZ UDPゴシック" panose="020B0400000000000000" pitchFamily="50" charset="-128"/>
            </a:rPr>
            <a:t>Excel</a:t>
          </a:r>
          <a:r>
            <a:rPr kumimoji="1" lang="ja-JP" altLang="en-US" sz="1100" b="1">
              <a:latin typeface="BIZ UDPゴシック" panose="020B0400000000000000" pitchFamily="50" charset="-128"/>
              <a:ea typeface="BIZ UDPゴシック" panose="020B0400000000000000" pitchFamily="50" charset="-128"/>
            </a:rPr>
            <a:t>の場合</a:t>
          </a:r>
          <a:endParaRPr kumimoji="1" lang="en-US" altLang="ja-JP" sz="1100" b="1">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対応不要の項目にはリストから</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必ず「対応不要」を選択</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してください。</a:t>
          </a: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endParaRPr kumimoji="1" lang="en-US" altLang="ja-JP" sz="1100">
            <a:latin typeface="BIZ UDPゴシック" panose="020B0400000000000000" pitchFamily="50" charset="-128"/>
            <a:ea typeface="BIZ UDPゴシック" panose="020B0400000000000000" pitchFamily="50" charset="-128"/>
          </a:endParaRPr>
        </a:p>
        <a:p>
          <a:pPr>
            <a:lnSpc>
              <a:spcPts val="1300"/>
            </a:lnSpc>
          </a:pPr>
          <a:r>
            <a:rPr kumimoji="1" lang="ja-JP" altLang="en-US" sz="1100" b="1">
              <a:latin typeface="BIZ UDPゴシック" panose="020B0400000000000000" pitchFamily="50" charset="-128"/>
              <a:ea typeface="BIZ UDPゴシック" panose="020B0400000000000000" pitchFamily="50" charset="-128"/>
            </a:rPr>
            <a:t>◎手書きの場合</a:t>
          </a:r>
          <a:endParaRPr kumimoji="1" lang="en-US" altLang="ja-JP" sz="1100" b="1">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対応不要の項目を</a:t>
          </a:r>
          <a:endParaRPr kumimoji="1" lang="en-US" altLang="ja-JP" sz="1100">
            <a:latin typeface="BIZ UDPゴシック" panose="020B0400000000000000" pitchFamily="50" charset="-128"/>
            <a:ea typeface="BIZ UDPゴシック" panose="020B0400000000000000" pitchFamily="50" charset="-128"/>
          </a:endParaRPr>
        </a:p>
        <a:p>
          <a:pPr>
            <a:lnSpc>
              <a:spcPts val="1900"/>
            </a:lnSpc>
          </a:pPr>
          <a:r>
            <a:rPr kumimoji="1" lang="ja-JP" altLang="en-US" sz="1600" b="1" u="sng">
              <a:latin typeface="BIZ UDPゴシック" panose="020B0400000000000000" pitchFamily="50" charset="-128"/>
              <a:ea typeface="BIZ UDPゴシック" panose="020B0400000000000000" pitchFamily="50" charset="-128"/>
            </a:rPr>
            <a:t>必ず黒く塗りつぶして</a:t>
          </a:r>
          <a:endParaRPr kumimoji="1" lang="en-US" altLang="ja-JP" sz="1600" b="1" u="sng">
            <a:latin typeface="BIZ UDPゴシック" panose="020B0400000000000000" pitchFamily="50" charset="-128"/>
            <a:ea typeface="BIZ UDPゴシック" panose="020B0400000000000000" pitchFamily="50" charset="-128"/>
          </a:endParaRPr>
        </a:p>
        <a:p>
          <a:pPr>
            <a:lnSpc>
              <a:spcPts val="1300"/>
            </a:lnSpc>
          </a:pPr>
          <a:r>
            <a:rPr kumimoji="1" lang="ja-JP" altLang="en-US" sz="1100">
              <a:latin typeface="BIZ UDPゴシック" panose="020B0400000000000000" pitchFamily="50" charset="-128"/>
              <a:ea typeface="BIZ UDPゴシック" panose="020B0400000000000000" pitchFamily="50" charset="-128"/>
            </a:rPr>
            <a:t>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29</xdr:col>
      <xdr:colOff>38103</xdr:colOff>
      <xdr:row>22</xdr:row>
      <xdr:rowOff>152402</xdr:rowOff>
    </xdr:from>
    <xdr:to>
      <xdr:col>29</xdr:col>
      <xdr:colOff>238125</xdr:colOff>
      <xdr:row>29</xdr:row>
      <xdr:rowOff>94059</xdr:rowOff>
    </xdr:to>
    <xdr:cxnSp macro="">
      <xdr:nvCxnSpPr>
        <xdr:cNvPr id="9" name="直線矢印コネクタ 8">
          <a:extLst>
            <a:ext uri="{FF2B5EF4-FFF2-40B4-BE49-F238E27FC236}">
              <a16:creationId xmlns:a16="http://schemas.microsoft.com/office/drawing/2014/main" id="{00000000-0008-0000-0400-000009000000}"/>
            </a:ext>
          </a:extLst>
        </xdr:cNvPr>
        <xdr:cNvCxnSpPr>
          <a:stCxn id="8" idx="1"/>
        </xdr:cNvCxnSpPr>
      </xdr:nvCxnSpPr>
      <xdr:spPr>
        <a:xfrm flipH="1" flipV="1">
          <a:off x="9777416" y="5272090"/>
          <a:ext cx="200022" cy="1358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209550</xdr:colOff>
      <xdr:row>46</xdr:row>
      <xdr:rowOff>23813</xdr:rowOff>
    </xdr:from>
    <xdr:to>
      <xdr:col>48</xdr:col>
      <xdr:colOff>0</xdr:colOff>
      <xdr:row>51</xdr:row>
      <xdr:rowOff>28575</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3020675" y="9084469"/>
          <a:ext cx="1826419" cy="101679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100">
              <a:latin typeface="BIZ UDPゴシック" panose="020B0400000000000000" pitchFamily="50" charset="-128"/>
              <a:ea typeface="BIZ UDPゴシック" panose="020B0400000000000000" pitchFamily="50" charset="-128"/>
            </a:rPr>
            <a:t>不明な点は、記入例のように</a:t>
          </a:r>
          <a:r>
            <a:rPr kumimoji="1" lang="ja-JP" altLang="en-US" sz="1100" b="1" u="sng">
              <a:latin typeface="BIZ UDPゴシック" panose="020B0400000000000000" pitchFamily="50" charset="-128"/>
              <a:ea typeface="BIZ UDPゴシック" panose="020B0400000000000000" pitchFamily="50" charset="-128"/>
            </a:rPr>
            <a:t>備考欄又は別紙</a:t>
          </a:r>
          <a:r>
            <a:rPr kumimoji="1" lang="ja-JP" altLang="en-US" sz="1100">
              <a:latin typeface="BIZ UDPゴシック" panose="020B0400000000000000" pitchFamily="50" charset="-128"/>
              <a:ea typeface="BIZ UDPゴシック" panose="020B0400000000000000" pitchFamily="50" charset="-128"/>
            </a:rPr>
            <a:t>を使って、依頼及び質問等を寄せてください。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0</xdr:colOff>
      <xdr:row>48</xdr:row>
      <xdr:rowOff>123827</xdr:rowOff>
    </xdr:from>
    <xdr:to>
      <xdr:col>48</xdr:col>
      <xdr:colOff>247650</xdr:colOff>
      <xdr:row>48</xdr:row>
      <xdr:rowOff>127397</xdr:rowOff>
    </xdr:to>
    <xdr:cxnSp macro="">
      <xdr:nvCxnSpPr>
        <xdr:cNvPr id="12" name="直線矢印コネクタ 11">
          <a:extLst>
            <a:ext uri="{FF2B5EF4-FFF2-40B4-BE49-F238E27FC236}">
              <a16:creationId xmlns:a16="http://schemas.microsoft.com/office/drawing/2014/main" id="{00000000-0008-0000-0400-00000C000000}"/>
            </a:ext>
          </a:extLst>
        </xdr:cNvPr>
        <xdr:cNvCxnSpPr>
          <a:stCxn id="11" idx="3"/>
        </xdr:cNvCxnSpPr>
      </xdr:nvCxnSpPr>
      <xdr:spPr>
        <a:xfrm flipV="1">
          <a:off x="14847094" y="9589296"/>
          <a:ext cx="247650" cy="3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238125</xdr:colOff>
      <xdr:row>50</xdr:row>
      <xdr:rowOff>114300</xdr:rowOff>
    </xdr:from>
    <xdr:to>
      <xdr:col>35</xdr:col>
      <xdr:colOff>247651</xdr:colOff>
      <xdr:row>52</xdr:row>
      <xdr:rowOff>161925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439400" y="9963150"/>
          <a:ext cx="9526"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152399</xdr:colOff>
      <xdr:row>45</xdr:row>
      <xdr:rowOff>180975</xdr:rowOff>
    </xdr:from>
    <xdr:to>
      <xdr:col>40</xdr:col>
      <xdr:colOff>142875</xdr:colOff>
      <xdr:row>50</xdr:row>
      <xdr:rowOff>114300</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8696324" y="9029700"/>
          <a:ext cx="3028951" cy="9334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latin typeface="BIZ UDPゴシック" panose="020B0400000000000000" pitchFamily="50" charset="-128"/>
              <a:ea typeface="BIZ UDPゴシック" panose="020B0400000000000000" pitchFamily="50" charset="-128"/>
            </a:rPr>
            <a:t>食堂からの回答内容について、</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400" b="1" u="sng">
              <a:solidFill>
                <a:srgbClr val="FF0000"/>
              </a:solidFill>
              <a:latin typeface="BIZ UDPゴシック" panose="020B0400000000000000" pitchFamily="50" charset="-128"/>
              <a:ea typeface="BIZ UDPゴシック" panose="020B0400000000000000" pitchFamily="50" charset="-128"/>
            </a:rPr>
            <a:t>支障がないことを必ず確認したうえで</a:t>
          </a:r>
          <a:r>
            <a:rPr kumimoji="1" lang="ja-JP" altLang="en-US" sz="1100">
              <a:latin typeface="BIZ UDPゴシック" panose="020B0400000000000000" pitchFamily="50" charset="-128"/>
              <a:ea typeface="BIZ UDPゴシック" panose="020B0400000000000000" pitchFamily="50" charset="-128"/>
            </a:rPr>
            <a:t>、最終確認者が署名してください。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xdr:twoCellAnchor>
    <xdr:from>
      <xdr:col>46</xdr:col>
      <xdr:colOff>59531</xdr:colOff>
      <xdr:row>15</xdr:row>
      <xdr:rowOff>136924</xdr:rowOff>
    </xdr:from>
    <xdr:to>
      <xdr:col>49</xdr:col>
      <xdr:colOff>157162</xdr:colOff>
      <xdr:row>17</xdr:row>
      <xdr:rowOff>71437</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4" idx="1"/>
        </xdr:cNvCxnSpPr>
      </xdr:nvCxnSpPr>
      <xdr:spPr>
        <a:xfrm flipH="1">
          <a:off x="14358937" y="2946799"/>
          <a:ext cx="919163" cy="3155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38103</xdr:colOff>
      <xdr:row>29</xdr:row>
      <xdr:rowOff>94059</xdr:rowOff>
    </xdr:from>
    <xdr:to>
      <xdr:col>29</xdr:col>
      <xdr:colOff>238125</xdr:colOff>
      <xdr:row>30</xdr:row>
      <xdr:rowOff>19050</xdr:rowOff>
    </xdr:to>
    <xdr:cxnSp macro="">
      <xdr:nvCxnSpPr>
        <xdr:cNvPr id="24" name="直線矢印コネクタ 23">
          <a:extLst>
            <a:ext uri="{FF2B5EF4-FFF2-40B4-BE49-F238E27FC236}">
              <a16:creationId xmlns:a16="http://schemas.microsoft.com/office/drawing/2014/main" id="{00000000-0008-0000-0400-000018000000}"/>
            </a:ext>
          </a:extLst>
        </xdr:cNvPr>
        <xdr:cNvCxnSpPr>
          <a:stCxn id="8" idx="1"/>
        </xdr:cNvCxnSpPr>
      </xdr:nvCxnSpPr>
      <xdr:spPr>
        <a:xfrm flipH="1">
          <a:off x="9777416" y="6630590"/>
          <a:ext cx="200022" cy="1273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12038041" y="2310085"/>
          <a:ext cx="2720235" cy="782661"/>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68</xdr:col>
      <xdr:colOff>257175</xdr:colOff>
      <xdr:row>1</xdr:row>
      <xdr:rowOff>76200</xdr:rowOff>
    </xdr:from>
    <xdr:to>
      <xdr:col>70</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38290501" y="4940422"/>
          <a:ext cx="4373655" cy="1506883"/>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6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81</xdr:col>
      <xdr:colOff>217824</xdr:colOff>
      <xdr:row>14</xdr:row>
      <xdr:rowOff>67806</xdr:rowOff>
    </xdr:from>
    <xdr:to>
      <xdr:col>91</xdr:col>
      <xdr:colOff>323850</xdr:colOff>
      <xdr:row>18</xdr:row>
      <xdr:rowOff>133350</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3594674" y="4744581"/>
          <a:ext cx="4487526" cy="1437144"/>
          <a:chOff x="44284956" y="5096445"/>
          <a:chExt cx="3396073" cy="926718"/>
        </a:xfrm>
      </xdr:grpSpPr>
      <xdr:sp macro="" textlink="">
        <xdr:nvSpPr>
          <xdr:cNvPr id="59" name="四角形吹き出し 58">
            <a:extLst>
              <a:ext uri="{FF2B5EF4-FFF2-40B4-BE49-F238E27FC236}">
                <a16:creationId xmlns:a16="http://schemas.microsoft.com/office/drawing/2014/main" id="{00000000-0008-0000-06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xdr:twoCellAnchor>
    <xdr:from>
      <xdr:col>68</xdr:col>
      <xdr:colOff>257175</xdr:colOff>
      <xdr:row>1</xdr:row>
      <xdr:rowOff>76200</xdr:rowOff>
    </xdr:from>
    <xdr:to>
      <xdr:col>70</xdr:col>
      <xdr:colOff>346076</xdr:colOff>
      <xdr:row>2</xdr:row>
      <xdr:rowOff>269215</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37423725" y="371475"/>
          <a:ext cx="1108076" cy="36446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69</xdr:col>
      <xdr:colOff>114301</xdr:colOff>
      <xdr:row>14</xdr:row>
      <xdr:rowOff>263647</xdr:rowOff>
    </xdr:from>
    <xdr:to>
      <xdr:col>79</xdr:col>
      <xdr:colOff>154081</xdr:colOff>
      <xdr:row>19</xdr:row>
      <xdr:rowOff>56030</xdr:rowOff>
    </xdr:to>
    <xdr:grpSp>
      <xdr:nvGrpSpPr>
        <xdr:cNvPr id="33" name="グループ化 32">
          <a:extLst>
            <a:ext uri="{FF2B5EF4-FFF2-40B4-BE49-F238E27FC236}">
              <a16:creationId xmlns:a16="http://schemas.microsoft.com/office/drawing/2014/main" id="{00000000-0008-0000-0600-000021000000}"/>
            </a:ext>
          </a:extLst>
        </xdr:cNvPr>
        <xdr:cNvGrpSpPr/>
      </xdr:nvGrpSpPr>
      <xdr:grpSpPr>
        <a:xfrm>
          <a:off x="38290501" y="4940422"/>
          <a:ext cx="4373655" cy="1506883"/>
          <a:chOff x="34443620" y="8233831"/>
          <a:chExt cx="3264174" cy="1473265"/>
        </a:xfrm>
      </xdr:grpSpPr>
      <xdr:sp macro="" textlink="">
        <xdr:nvSpPr>
          <xdr:cNvPr id="34" name="四角形吹き出し 56">
            <a:extLst>
              <a:ext uri="{FF2B5EF4-FFF2-40B4-BE49-F238E27FC236}">
                <a16:creationId xmlns:a16="http://schemas.microsoft.com/office/drawing/2014/main" id="{00000000-0008-0000-0600-000022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latin typeface="BIZ UDPゴシック" panose="020B0400000000000000" pitchFamily="50" charset="-128"/>
                <a:ea typeface="BIZ UDPゴシック" panose="020B0400000000000000" pitchFamily="50" charset="-128"/>
              </a:rPr>
              <a:t>クラフトは、事前準備の必要があるため、天候によって実施しない場合でも、種類・数量をご記入ください。そのうえで、実施した場合のみ料金を請求いたします。</a:t>
            </a:r>
          </a:p>
        </xdr:txBody>
      </xdr:sp>
    </xdr:grpSp>
    <xdr:clientData/>
  </xdr:twoCellAnchor>
  <mc:AlternateContent xmlns:mc="http://schemas.openxmlformats.org/markup-compatibility/2006">
    <mc:Choice xmlns:a14="http://schemas.microsoft.com/office/drawing/2010/main" Requires="a14">
      <xdr:twoCellAnchor editAs="oneCell">
        <xdr:from>
          <xdr:col>17</xdr:col>
          <xdr:colOff>57150</xdr:colOff>
          <xdr:row>9</xdr:row>
          <xdr:rowOff>28575</xdr:rowOff>
        </xdr:from>
        <xdr:to>
          <xdr:col>17</xdr:col>
          <xdr:colOff>285750</xdr:colOff>
          <xdr:row>9</xdr:row>
          <xdr:rowOff>314325</xdr:rowOff>
        </xdr:to>
        <xdr:sp macro="" textlink="">
          <xdr:nvSpPr>
            <xdr:cNvPr id="39510" name="Check Box 2646" hidden="1">
              <a:extLst>
                <a:ext uri="{63B3BB69-23CF-44E3-9099-C40C66FF867C}">
                  <a14:compatExt spid="_x0000_s39510"/>
                </a:ext>
                <a:ext uri="{FF2B5EF4-FFF2-40B4-BE49-F238E27FC236}">
                  <a16:creationId xmlns:a16="http://schemas.microsoft.com/office/drawing/2014/main" id="{00000000-0008-0000-0600-00005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xdr:row>
          <xdr:rowOff>38100</xdr:rowOff>
        </xdr:from>
        <xdr:to>
          <xdr:col>17</xdr:col>
          <xdr:colOff>276225</xdr:colOff>
          <xdr:row>10</xdr:row>
          <xdr:rowOff>295275</xdr:rowOff>
        </xdr:to>
        <xdr:sp macro="" textlink="">
          <xdr:nvSpPr>
            <xdr:cNvPr id="39511" name="Check Box 2647" hidden="1">
              <a:extLst>
                <a:ext uri="{63B3BB69-23CF-44E3-9099-C40C66FF867C}">
                  <a14:compatExt spid="_x0000_s39511"/>
                </a:ext>
                <a:ext uri="{FF2B5EF4-FFF2-40B4-BE49-F238E27FC236}">
                  <a16:creationId xmlns:a16="http://schemas.microsoft.com/office/drawing/2014/main" id="{00000000-0008-0000-0600-00005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47625</xdr:rowOff>
        </xdr:from>
        <xdr:to>
          <xdr:col>17</xdr:col>
          <xdr:colOff>276225</xdr:colOff>
          <xdr:row>11</xdr:row>
          <xdr:rowOff>295275</xdr:rowOff>
        </xdr:to>
        <xdr:sp macro="" textlink="">
          <xdr:nvSpPr>
            <xdr:cNvPr id="39512" name="Check Box 2648" hidden="1">
              <a:extLst>
                <a:ext uri="{63B3BB69-23CF-44E3-9099-C40C66FF867C}">
                  <a14:compatExt spid="_x0000_s39512"/>
                </a:ext>
                <a:ext uri="{FF2B5EF4-FFF2-40B4-BE49-F238E27FC236}">
                  <a16:creationId xmlns:a16="http://schemas.microsoft.com/office/drawing/2014/main" id="{00000000-0008-0000-0600-00005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38100</xdr:rowOff>
        </xdr:from>
        <xdr:to>
          <xdr:col>17</xdr:col>
          <xdr:colOff>257175</xdr:colOff>
          <xdr:row>12</xdr:row>
          <xdr:rowOff>285750</xdr:rowOff>
        </xdr:to>
        <xdr:sp macro="" textlink="">
          <xdr:nvSpPr>
            <xdr:cNvPr id="39513" name="Check Box 2649" hidden="1">
              <a:extLst>
                <a:ext uri="{63B3BB69-23CF-44E3-9099-C40C66FF867C}">
                  <a14:compatExt spid="_x0000_s39513"/>
                </a:ext>
                <a:ext uri="{FF2B5EF4-FFF2-40B4-BE49-F238E27FC236}">
                  <a16:creationId xmlns:a16="http://schemas.microsoft.com/office/drawing/2014/main" id="{00000000-0008-0000-0600-00005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13</xdr:row>
          <xdr:rowOff>47625</xdr:rowOff>
        </xdr:from>
        <xdr:to>
          <xdr:col>17</xdr:col>
          <xdr:colOff>285750</xdr:colOff>
          <xdr:row>13</xdr:row>
          <xdr:rowOff>295275</xdr:rowOff>
        </xdr:to>
        <xdr:sp macro="" textlink="">
          <xdr:nvSpPr>
            <xdr:cNvPr id="39514" name="Check Box 2650" hidden="1">
              <a:extLst>
                <a:ext uri="{63B3BB69-23CF-44E3-9099-C40C66FF867C}">
                  <a14:compatExt spid="_x0000_s39514"/>
                </a:ext>
                <a:ext uri="{FF2B5EF4-FFF2-40B4-BE49-F238E27FC236}">
                  <a16:creationId xmlns:a16="http://schemas.microsoft.com/office/drawing/2014/main" id="{00000000-0008-0000-0600-00005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47625</xdr:rowOff>
        </xdr:from>
        <xdr:to>
          <xdr:col>17</xdr:col>
          <xdr:colOff>257175</xdr:colOff>
          <xdr:row>14</xdr:row>
          <xdr:rowOff>295275</xdr:rowOff>
        </xdr:to>
        <xdr:sp macro="" textlink="">
          <xdr:nvSpPr>
            <xdr:cNvPr id="39515" name="Check Box 2651" hidden="1">
              <a:extLst>
                <a:ext uri="{63B3BB69-23CF-44E3-9099-C40C66FF867C}">
                  <a14:compatExt spid="_x0000_s39515"/>
                </a:ext>
                <a:ext uri="{FF2B5EF4-FFF2-40B4-BE49-F238E27FC236}">
                  <a16:creationId xmlns:a16="http://schemas.microsoft.com/office/drawing/2014/main" id="{00000000-0008-0000-0600-00005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57150</xdr:rowOff>
        </xdr:from>
        <xdr:to>
          <xdr:col>17</xdr:col>
          <xdr:colOff>276225</xdr:colOff>
          <xdr:row>15</xdr:row>
          <xdr:rowOff>304800</xdr:rowOff>
        </xdr:to>
        <xdr:sp macro="" textlink="">
          <xdr:nvSpPr>
            <xdr:cNvPr id="39516" name="Check Box 2652" hidden="1">
              <a:extLst>
                <a:ext uri="{63B3BB69-23CF-44E3-9099-C40C66FF867C}">
                  <a14:compatExt spid="_x0000_s39516"/>
                </a:ext>
                <a:ext uri="{FF2B5EF4-FFF2-40B4-BE49-F238E27FC236}">
                  <a16:creationId xmlns:a16="http://schemas.microsoft.com/office/drawing/2014/main" id="{00000000-0008-0000-0600-00005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57150</xdr:rowOff>
        </xdr:from>
        <xdr:to>
          <xdr:col>19</xdr:col>
          <xdr:colOff>238125</xdr:colOff>
          <xdr:row>9</xdr:row>
          <xdr:rowOff>304800</xdr:rowOff>
        </xdr:to>
        <xdr:sp macro="" textlink="">
          <xdr:nvSpPr>
            <xdr:cNvPr id="39517" name="Check Box 2653" hidden="1">
              <a:extLst>
                <a:ext uri="{63B3BB69-23CF-44E3-9099-C40C66FF867C}">
                  <a14:compatExt spid="_x0000_s39517"/>
                </a:ext>
                <a:ext uri="{FF2B5EF4-FFF2-40B4-BE49-F238E27FC236}">
                  <a16:creationId xmlns:a16="http://schemas.microsoft.com/office/drawing/2014/main" id="{00000000-0008-0000-0600-00005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57150</xdr:rowOff>
        </xdr:from>
        <xdr:to>
          <xdr:col>19</xdr:col>
          <xdr:colOff>238125</xdr:colOff>
          <xdr:row>10</xdr:row>
          <xdr:rowOff>304800</xdr:rowOff>
        </xdr:to>
        <xdr:sp macro="" textlink="">
          <xdr:nvSpPr>
            <xdr:cNvPr id="39518" name="Check Box 2654" hidden="1">
              <a:extLst>
                <a:ext uri="{63B3BB69-23CF-44E3-9099-C40C66FF867C}">
                  <a14:compatExt spid="_x0000_s39518"/>
                </a:ext>
                <a:ext uri="{FF2B5EF4-FFF2-40B4-BE49-F238E27FC236}">
                  <a16:creationId xmlns:a16="http://schemas.microsoft.com/office/drawing/2014/main" id="{00000000-0008-0000-0600-00005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47625</xdr:rowOff>
        </xdr:from>
        <xdr:to>
          <xdr:col>19</xdr:col>
          <xdr:colOff>266700</xdr:colOff>
          <xdr:row>11</xdr:row>
          <xdr:rowOff>295275</xdr:rowOff>
        </xdr:to>
        <xdr:sp macro="" textlink="">
          <xdr:nvSpPr>
            <xdr:cNvPr id="39519" name="Check Box 2655" hidden="1">
              <a:extLst>
                <a:ext uri="{63B3BB69-23CF-44E3-9099-C40C66FF867C}">
                  <a14:compatExt spid="_x0000_s39519"/>
                </a:ext>
                <a:ext uri="{FF2B5EF4-FFF2-40B4-BE49-F238E27FC236}">
                  <a16:creationId xmlns:a16="http://schemas.microsoft.com/office/drawing/2014/main" id="{00000000-0008-0000-0600-00005F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57150</xdr:rowOff>
        </xdr:from>
        <xdr:to>
          <xdr:col>19</xdr:col>
          <xdr:colOff>228600</xdr:colOff>
          <xdr:row>12</xdr:row>
          <xdr:rowOff>304800</xdr:rowOff>
        </xdr:to>
        <xdr:sp macro="" textlink="">
          <xdr:nvSpPr>
            <xdr:cNvPr id="39520" name="Check Box 2656" hidden="1">
              <a:extLst>
                <a:ext uri="{63B3BB69-23CF-44E3-9099-C40C66FF867C}">
                  <a14:compatExt spid="_x0000_s39520"/>
                </a:ext>
                <a:ext uri="{FF2B5EF4-FFF2-40B4-BE49-F238E27FC236}">
                  <a16:creationId xmlns:a16="http://schemas.microsoft.com/office/drawing/2014/main" id="{00000000-0008-0000-0600-000060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47625</xdr:rowOff>
        </xdr:from>
        <xdr:to>
          <xdr:col>19</xdr:col>
          <xdr:colOff>266700</xdr:colOff>
          <xdr:row>13</xdr:row>
          <xdr:rowOff>295275</xdr:rowOff>
        </xdr:to>
        <xdr:sp macro="" textlink="">
          <xdr:nvSpPr>
            <xdr:cNvPr id="39521" name="Check Box 2657" hidden="1">
              <a:extLst>
                <a:ext uri="{63B3BB69-23CF-44E3-9099-C40C66FF867C}">
                  <a14:compatExt spid="_x0000_s39521"/>
                </a:ext>
                <a:ext uri="{FF2B5EF4-FFF2-40B4-BE49-F238E27FC236}">
                  <a16:creationId xmlns:a16="http://schemas.microsoft.com/office/drawing/2014/main" id="{00000000-0008-0000-0600-00006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47625</xdr:rowOff>
        </xdr:from>
        <xdr:to>
          <xdr:col>19</xdr:col>
          <xdr:colOff>266700</xdr:colOff>
          <xdr:row>14</xdr:row>
          <xdr:rowOff>295275</xdr:rowOff>
        </xdr:to>
        <xdr:sp macro="" textlink="">
          <xdr:nvSpPr>
            <xdr:cNvPr id="39522" name="Check Box 2658" hidden="1">
              <a:extLst>
                <a:ext uri="{63B3BB69-23CF-44E3-9099-C40C66FF867C}">
                  <a14:compatExt spid="_x0000_s39522"/>
                </a:ext>
                <a:ext uri="{FF2B5EF4-FFF2-40B4-BE49-F238E27FC236}">
                  <a16:creationId xmlns:a16="http://schemas.microsoft.com/office/drawing/2014/main" id="{00000000-0008-0000-0600-00006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47625</xdr:rowOff>
        </xdr:from>
        <xdr:to>
          <xdr:col>19</xdr:col>
          <xdr:colOff>228600</xdr:colOff>
          <xdr:row>15</xdr:row>
          <xdr:rowOff>295275</xdr:rowOff>
        </xdr:to>
        <xdr:sp macro="" textlink="">
          <xdr:nvSpPr>
            <xdr:cNvPr id="39523" name="Check Box 2659" hidden="1">
              <a:extLst>
                <a:ext uri="{63B3BB69-23CF-44E3-9099-C40C66FF867C}">
                  <a14:compatExt spid="_x0000_s39523"/>
                </a:ext>
                <a:ext uri="{FF2B5EF4-FFF2-40B4-BE49-F238E27FC236}">
                  <a16:creationId xmlns:a16="http://schemas.microsoft.com/office/drawing/2014/main" id="{00000000-0008-0000-0600-00006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339328</xdr:colOff>
      <xdr:row>6</xdr:row>
      <xdr:rowOff>71437</xdr:rowOff>
    </xdr:from>
    <xdr:to>
      <xdr:col>20</xdr:col>
      <xdr:colOff>339328</xdr:colOff>
      <xdr:row>7</xdr:row>
      <xdr:rowOff>232171</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9900047" y="2012156"/>
          <a:ext cx="2178844" cy="506015"/>
        </a:xfrm>
        <a:prstGeom prst="wedgeRoundRectCallout">
          <a:avLst>
            <a:gd name="adj1" fmla="val 2935"/>
            <a:gd name="adj2" fmla="val 65811"/>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後納支払い</a:t>
          </a:r>
          <a:r>
            <a:rPr kumimoji="1" lang="en-US" altLang="ja-JP" sz="1100" b="1">
              <a:solidFill>
                <a:srgbClr val="FF0000"/>
              </a:solidFill>
            </a:rPr>
            <a:t>】</a:t>
          </a:r>
          <a:r>
            <a:rPr kumimoji="1" lang="ja-JP" altLang="en-US" sz="1100" b="1">
              <a:solidFill>
                <a:srgbClr val="FF0000"/>
              </a:solidFill>
            </a:rPr>
            <a:t>は学校団体のみ、</a:t>
          </a:r>
          <a:endParaRPr kumimoji="1" lang="en-US" altLang="ja-JP" sz="1100" b="1">
            <a:solidFill>
              <a:srgbClr val="FF0000"/>
            </a:solidFill>
          </a:endParaRPr>
        </a:p>
        <a:p>
          <a:pPr algn="l"/>
          <a:r>
            <a:rPr kumimoji="1" lang="ja-JP" altLang="en-US" sz="1100" b="1">
              <a:solidFill>
                <a:srgbClr val="FF0000"/>
              </a:solidFill>
            </a:rPr>
            <a:t>選択できます。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29</xdr:col>
      <xdr:colOff>0</xdr:colOff>
      <xdr:row>39</xdr:row>
      <xdr:rowOff>0</xdr:rowOff>
    </xdr:from>
    <xdr:to>
      <xdr:col>36</xdr:col>
      <xdr:colOff>219075</xdr:colOff>
      <xdr:row>43</xdr:row>
      <xdr:rowOff>57150</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315325" y="9791700"/>
          <a:ext cx="2152650" cy="781050"/>
        </a:xfrm>
        <a:prstGeom prst="wedgeRoundRectCallout">
          <a:avLst>
            <a:gd name="adj1" fmla="val 46866"/>
            <a:gd name="adj2" fmla="val 6888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BIZ UDPゴシック" panose="020B0400000000000000" pitchFamily="50" charset="-128"/>
              <a:ea typeface="BIZ UDPゴシック" panose="020B0400000000000000" pitchFamily="50" charset="-128"/>
            </a:rPr>
            <a:t>この部分は、当館スタッフが記入します。未記入のままでご提出ください。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9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9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n\&#20849;&#26377;\&#20196;&#21644;2&#24180;&#24230;(2020&#24180;&#24230;)\03%20&#30456;&#35527;\&#9679;R2&#12288;&#30003;&#35531;&#26360;&#39006;\&#25913;&#33391;&#29256;&#65288;&#33276;&#20117;&#20316;&#25104;&#65289;\&#19968;&#33324;&#22243;&#20307;&#29992;&#65288;ver1.1&#12525;&#12483;&#12463;&#12354;&#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ずはじめにお読みください※"/>
      <sheetName val="01 使用承認申請書"/>
      <sheetName val="02 利用計画書"/>
      <sheetName val="03 食事申込書"/>
      <sheetName val="04 食物アレルギー確認書"/>
      <sheetName val="05 利用者名簿"/>
      <sheetName val="06　人数報告用紙"/>
      <sheetName val="07 使用料減免申請書"/>
      <sheetName val="08 車両動向報告書"/>
      <sheetName val="09 利用日変更（取消）報告書"/>
    </sheetNames>
    <sheetDataSet>
      <sheetData sheetId="0"/>
      <sheetData sheetId="1">
        <row r="14">
          <cell r="AC14" t="str">
            <v>10</v>
          </cell>
          <cell r="AF14" t="str">
            <v>12</v>
          </cell>
        </row>
        <row r="16">
          <cell r="AC16" t="str">
            <v>10</v>
          </cell>
          <cell r="AF16" t="str">
            <v>13</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132.xml"/><Relationship Id="rId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7" Type="http://schemas.openxmlformats.org/officeDocument/2006/relationships/hyperlink" Target="http://www.shinoro-e.sapporo-c.ed.jp/" TargetMode="External"/><Relationship Id="rId2" Type="http://schemas.openxmlformats.org/officeDocument/2006/relationships/hyperlink" Target="http://www.kohoku-e.sapporo-c.ed.jp/" TargetMode="External"/><Relationship Id="rId16" Type="http://schemas.openxmlformats.org/officeDocument/2006/relationships/hyperlink" Target="http://www.taihei-e.sapporo-c.ed.jp/" TargetMode="External"/><Relationship Id="rId29" Type="http://schemas.openxmlformats.org/officeDocument/2006/relationships/hyperlink" Target="http://www.tondenkita-e.sapporo-c.ed.jp/" TargetMode="External"/><Relationship Id="rId11" Type="http://schemas.openxmlformats.org/officeDocument/2006/relationships/hyperlink" Target="http://www.koyo-e.sapporo-c.ed.jp/" TargetMode="External"/><Relationship Id="rId24" Type="http://schemas.openxmlformats.org/officeDocument/2006/relationships/hyperlink" Target="http://www.taiheiminami-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3" Type="http://schemas.openxmlformats.org/officeDocument/2006/relationships/ctrlProp" Target="../ctrlProps/ctrlProp20.xml"/><Relationship Id="rId58" Type="http://schemas.openxmlformats.org/officeDocument/2006/relationships/ctrlProp" Target="../ctrlProps/ctrlProp25.xml"/><Relationship Id="rId66" Type="http://schemas.openxmlformats.org/officeDocument/2006/relationships/ctrlProp" Target="../ctrlProps/ctrlProp33.xml"/><Relationship Id="rId5" Type="http://schemas.openxmlformats.org/officeDocument/2006/relationships/hyperlink" Target="http://www.tonden-e.sapporo-c.ed.jp/" TargetMode="External"/><Relationship Id="rId61" Type="http://schemas.openxmlformats.org/officeDocument/2006/relationships/ctrlProp" Target="../ctrlProps/ctrlProp28.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56" Type="http://schemas.openxmlformats.org/officeDocument/2006/relationships/ctrlProp" Target="../ctrlProps/ctrlProp23.xml"/><Relationship Id="rId64" Type="http://schemas.openxmlformats.org/officeDocument/2006/relationships/ctrlProp" Target="../ctrlProps/ctrlProp31.xml"/><Relationship Id="rId69" Type="http://schemas.openxmlformats.org/officeDocument/2006/relationships/ctrlProp" Target="../ctrlProps/ctrlProp36.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3" Type="http://schemas.openxmlformats.org/officeDocument/2006/relationships/hyperlink" Target="http://www.hakuyo-e.sapporo-c.ed.jp/" TargetMode="Externa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25" Type="http://schemas.openxmlformats.org/officeDocument/2006/relationships/hyperlink" Target="http://www.ainosatonish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46" Type="http://schemas.openxmlformats.org/officeDocument/2006/relationships/ctrlProp" Target="../ctrlProps/ctrlProp13.xml"/><Relationship Id="rId59" Type="http://schemas.openxmlformats.org/officeDocument/2006/relationships/ctrlProp" Target="../ctrlProps/ctrlProp26.xml"/><Relationship Id="rId67" Type="http://schemas.openxmlformats.org/officeDocument/2006/relationships/ctrlProp" Target="../ctrlProps/ctrlProp34.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54" Type="http://schemas.openxmlformats.org/officeDocument/2006/relationships/ctrlProp" Target="../ctrlProps/ctrlProp21.xml"/><Relationship Id="rId62" Type="http://schemas.openxmlformats.org/officeDocument/2006/relationships/ctrlProp" Target="../ctrlProps/ctrlProp29.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15" Type="http://schemas.openxmlformats.org/officeDocument/2006/relationships/hyperlink" Target="http://www.shinkotoninishi-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36" Type="http://schemas.openxmlformats.org/officeDocument/2006/relationships/ctrlProp" Target="../ctrlProps/ctrlProp3.xml"/><Relationship Id="rId49" Type="http://schemas.openxmlformats.org/officeDocument/2006/relationships/ctrlProp" Target="../ctrlProps/ctrlProp16.xml"/><Relationship Id="rId57" Type="http://schemas.openxmlformats.org/officeDocument/2006/relationships/ctrlProp" Target="../ctrlProps/ctrlProp24.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9.xml"/><Relationship Id="rId21" Type="http://schemas.openxmlformats.org/officeDocument/2006/relationships/ctrlProp" Target="../ctrlProps/ctrlProp54.xml"/><Relationship Id="rId42" Type="http://schemas.openxmlformats.org/officeDocument/2006/relationships/ctrlProp" Target="../ctrlProps/ctrlProp75.xml"/><Relationship Id="rId47" Type="http://schemas.openxmlformats.org/officeDocument/2006/relationships/ctrlProp" Target="../ctrlProps/ctrlProp80.xml"/><Relationship Id="rId63" Type="http://schemas.openxmlformats.org/officeDocument/2006/relationships/ctrlProp" Target="../ctrlProps/ctrlProp96.xml"/><Relationship Id="rId68" Type="http://schemas.openxmlformats.org/officeDocument/2006/relationships/ctrlProp" Target="../ctrlProps/ctrlProp101.xml"/><Relationship Id="rId16" Type="http://schemas.openxmlformats.org/officeDocument/2006/relationships/ctrlProp" Target="../ctrlProps/ctrlProp49.xml"/><Relationship Id="rId11" Type="http://schemas.openxmlformats.org/officeDocument/2006/relationships/ctrlProp" Target="../ctrlProps/ctrlProp44.xml"/><Relationship Id="rId32" Type="http://schemas.openxmlformats.org/officeDocument/2006/relationships/ctrlProp" Target="../ctrlProps/ctrlProp65.xml"/><Relationship Id="rId37" Type="http://schemas.openxmlformats.org/officeDocument/2006/relationships/ctrlProp" Target="../ctrlProps/ctrlProp70.xml"/><Relationship Id="rId53" Type="http://schemas.openxmlformats.org/officeDocument/2006/relationships/ctrlProp" Target="../ctrlProps/ctrlProp86.xml"/><Relationship Id="rId58" Type="http://schemas.openxmlformats.org/officeDocument/2006/relationships/ctrlProp" Target="../ctrlProps/ctrlProp91.xml"/><Relationship Id="rId74" Type="http://schemas.openxmlformats.org/officeDocument/2006/relationships/ctrlProp" Target="../ctrlProps/ctrlProp107.xml"/><Relationship Id="rId79" Type="http://schemas.openxmlformats.org/officeDocument/2006/relationships/ctrlProp" Target="../ctrlProps/ctrlProp112.xml"/><Relationship Id="rId5" Type="http://schemas.openxmlformats.org/officeDocument/2006/relationships/ctrlProp" Target="../ctrlProps/ctrlProp38.xml"/><Relationship Id="rId61" Type="http://schemas.openxmlformats.org/officeDocument/2006/relationships/ctrlProp" Target="../ctrlProps/ctrlProp94.xml"/><Relationship Id="rId82" Type="http://schemas.openxmlformats.org/officeDocument/2006/relationships/ctrlProp" Target="../ctrlProps/ctrlProp115.xml"/><Relationship Id="rId19" Type="http://schemas.openxmlformats.org/officeDocument/2006/relationships/ctrlProp" Target="../ctrlProps/ctrlProp5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77" Type="http://schemas.openxmlformats.org/officeDocument/2006/relationships/ctrlProp" Target="../ctrlProps/ctrlProp110.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80" Type="http://schemas.openxmlformats.org/officeDocument/2006/relationships/ctrlProp" Target="../ctrlProps/ctrlProp113.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75" Type="http://schemas.openxmlformats.org/officeDocument/2006/relationships/ctrlProp" Target="../ctrlProps/ctrlProp108.xml"/><Relationship Id="rId83"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 Id="rId10" Type="http://schemas.openxmlformats.org/officeDocument/2006/relationships/ctrlProp" Target="../ctrlProps/ctrlProp43.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78" Type="http://schemas.openxmlformats.org/officeDocument/2006/relationships/ctrlProp" Target="../ctrlProps/ctrlProp111.xml"/><Relationship Id="rId81" Type="http://schemas.openxmlformats.org/officeDocument/2006/relationships/ctrlProp" Target="../ctrlProps/ctrlProp114.xml"/><Relationship Id="rId4" Type="http://schemas.openxmlformats.org/officeDocument/2006/relationships/ctrlProp" Target="../ctrlProps/ctrlProp37.xml"/><Relationship Id="rId9" Type="http://schemas.openxmlformats.org/officeDocument/2006/relationships/ctrlProp" Target="../ctrlProps/ctrlProp42.xml"/><Relationship Id="rId13" Type="http://schemas.openxmlformats.org/officeDocument/2006/relationships/ctrlProp" Target="../ctrlProps/ctrlProp46.xml"/><Relationship Id="rId18" Type="http://schemas.openxmlformats.org/officeDocument/2006/relationships/ctrlProp" Target="../ctrlProps/ctrlProp51.xml"/><Relationship Id="rId39" Type="http://schemas.openxmlformats.org/officeDocument/2006/relationships/ctrlProp" Target="../ctrlProps/ctrlProp72.xml"/><Relationship Id="rId34" Type="http://schemas.openxmlformats.org/officeDocument/2006/relationships/ctrlProp" Target="../ctrlProps/ctrlProp67.xml"/><Relationship Id="rId50" Type="http://schemas.openxmlformats.org/officeDocument/2006/relationships/ctrlProp" Target="../ctrlProps/ctrlProp83.xml"/><Relationship Id="rId55" Type="http://schemas.openxmlformats.org/officeDocument/2006/relationships/ctrlProp" Target="../ctrlProps/ctrlProp88.xml"/><Relationship Id="rId76" Type="http://schemas.openxmlformats.org/officeDocument/2006/relationships/ctrlProp" Target="../ctrlProps/ctrlProp109.xml"/><Relationship Id="rId7" Type="http://schemas.openxmlformats.org/officeDocument/2006/relationships/ctrlProp" Target="../ctrlProps/ctrlProp40.xml"/><Relationship Id="rId71" Type="http://schemas.openxmlformats.org/officeDocument/2006/relationships/ctrlProp" Target="../ctrlProps/ctrlProp104.xml"/><Relationship Id="rId2" Type="http://schemas.openxmlformats.org/officeDocument/2006/relationships/drawing" Target="../drawings/drawing2.xml"/><Relationship Id="rId29" Type="http://schemas.openxmlformats.org/officeDocument/2006/relationships/ctrlProp" Target="../ctrlProps/ctrlProp62.xml"/><Relationship Id="rId24" Type="http://schemas.openxmlformats.org/officeDocument/2006/relationships/ctrlProp" Target="../ctrlProps/ctrlProp57.xml"/><Relationship Id="rId40" Type="http://schemas.openxmlformats.org/officeDocument/2006/relationships/ctrlProp" Target="../ctrlProps/ctrlProp73.xml"/><Relationship Id="rId45" Type="http://schemas.openxmlformats.org/officeDocument/2006/relationships/ctrlProp" Target="../ctrlProps/ctrlProp78.xml"/><Relationship Id="rId66" Type="http://schemas.openxmlformats.org/officeDocument/2006/relationships/ctrlProp" Target="../ctrlProps/ctrlProp9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1.xml"/><Relationship Id="rId13" Type="http://schemas.openxmlformats.org/officeDocument/2006/relationships/ctrlProp" Target="../ctrlProps/ctrlProp126.xml"/><Relationship Id="rId18" Type="http://schemas.openxmlformats.org/officeDocument/2006/relationships/comments" Target="../comments3.xml"/><Relationship Id="rId3" Type="http://schemas.openxmlformats.org/officeDocument/2006/relationships/vmlDrawing" Target="../drawings/vmlDrawing5.v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 Type="http://schemas.openxmlformats.org/officeDocument/2006/relationships/drawing" Target="../drawings/drawing5.xml"/><Relationship Id="rId16" Type="http://schemas.openxmlformats.org/officeDocument/2006/relationships/ctrlProp" Target="../ctrlProps/ctrlProp129.xml"/><Relationship Id="rId1" Type="http://schemas.openxmlformats.org/officeDocument/2006/relationships/printerSettings" Target="../printerSettings/printerSettings7.bin"/><Relationship Id="rId6" Type="http://schemas.openxmlformats.org/officeDocument/2006/relationships/ctrlProp" Target="../ctrlProps/ctrlProp119.xml"/><Relationship Id="rId11" Type="http://schemas.openxmlformats.org/officeDocument/2006/relationships/ctrlProp" Target="../ctrlProps/ctrlProp124.xml"/><Relationship Id="rId5" Type="http://schemas.openxmlformats.org/officeDocument/2006/relationships/ctrlProp" Target="../ctrlProps/ctrlProp118.xml"/><Relationship Id="rId15" Type="http://schemas.openxmlformats.org/officeDocument/2006/relationships/ctrlProp" Target="../ctrlProps/ctrlProp128.xml"/><Relationship Id="rId10" Type="http://schemas.openxmlformats.org/officeDocument/2006/relationships/ctrlProp" Target="../ctrlProps/ctrlProp123.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6"/>
  <sheetViews>
    <sheetView tabSelected="1" view="pageBreakPreview" topLeftCell="A2" zoomScaleNormal="100" zoomScaleSheetLayoutView="100" workbookViewId="0">
      <selection activeCell="G3" sqref="G3"/>
    </sheetView>
  </sheetViews>
  <sheetFormatPr defaultRowHeight="13.5"/>
  <cols>
    <col min="1" max="26" width="3.625" style="469" customWidth="1"/>
    <col min="27" max="16384" width="9" style="469"/>
  </cols>
  <sheetData>
    <row r="1" spans="1:26" hidden="1"/>
    <row r="2" spans="1:26" ht="20.100000000000001" customHeight="1">
      <c r="A2" s="1146" t="s">
        <v>335</v>
      </c>
      <c r="B2" s="1146"/>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row>
    <row r="3" spans="1:26" ht="20.100000000000001" customHeight="1">
      <c r="A3" s="813"/>
      <c r="B3" s="814"/>
      <c r="C3" s="814"/>
      <c r="D3" s="814"/>
      <c r="E3" s="814"/>
      <c r="F3" s="814"/>
      <c r="G3" s="814"/>
      <c r="H3" s="814"/>
      <c r="I3" s="814"/>
      <c r="J3" s="814"/>
      <c r="K3" s="814"/>
      <c r="L3" s="814"/>
      <c r="M3" s="814"/>
      <c r="N3" s="814"/>
      <c r="O3" s="814"/>
      <c r="P3" s="814"/>
      <c r="Q3" s="814"/>
      <c r="R3" s="814"/>
      <c r="S3" s="814"/>
      <c r="T3" s="814"/>
      <c r="U3" s="814"/>
      <c r="V3" s="814"/>
      <c r="W3" s="814"/>
      <c r="X3" s="814"/>
      <c r="Y3" s="814"/>
      <c r="Z3" s="813"/>
    </row>
    <row r="4" spans="1:26" ht="20.100000000000001" customHeight="1">
      <c r="A4" s="1149"/>
      <c r="B4" s="1149"/>
      <c r="C4" s="1149"/>
      <c r="D4" s="1149"/>
      <c r="E4" s="1149"/>
      <c r="F4" s="1149"/>
      <c r="G4" s="1149"/>
      <c r="H4" s="1149"/>
      <c r="I4" s="1148" t="s">
        <v>4</v>
      </c>
      <c r="J4" s="1148"/>
      <c r="K4" s="1148"/>
      <c r="L4" s="1148"/>
      <c r="M4" s="1148"/>
      <c r="N4" s="1148"/>
      <c r="O4" s="1148"/>
      <c r="P4" s="1148"/>
      <c r="Q4" s="1148"/>
      <c r="R4" s="1148"/>
      <c r="S4" s="1149"/>
      <c r="T4" s="1149"/>
      <c r="U4" s="1149"/>
      <c r="V4" s="1149"/>
      <c r="W4" s="1149"/>
      <c r="X4" s="1149"/>
      <c r="Y4" s="1149"/>
      <c r="Z4" s="1149"/>
    </row>
    <row r="5" spans="1:26" ht="20.100000000000001" customHeight="1">
      <c r="A5" s="1147"/>
      <c r="B5" s="1147"/>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row>
    <row r="6" spans="1:26" ht="20.100000000000001" customHeight="1">
      <c r="A6" s="1131" t="s">
        <v>7</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row>
    <row r="7" spans="1:26" ht="20.100000000000001" customHeight="1">
      <c r="A7" s="1132"/>
      <c r="B7" s="1132"/>
      <c r="C7" s="1132"/>
      <c r="D7" s="1132"/>
      <c r="E7" s="1132"/>
      <c r="F7" s="1132"/>
      <c r="G7" s="1132"/>
      <c r="H7" s="1132"/>
      <c r="I7" s="1132"/>
      <c r="J7" s="1132"/>
      <c r="K7" s="1132"/>
      <c r="L7" s="1132"/>
      <c r="M7" s="1132"/>
      <c r="N7" s="1132"/>
      <c r="O7" s="1132"/>
      <c r="P7" s="1132"/>
      <c r="Q7" s="1132"/>
      <c r="R7" s="1132"/>
      <c r="S7" s="1132"/>
      <c r="T7" s="1132"/>
      <c r="U7" s="1132"/>
      <c r="V7" s="1132"/>
      <c r="W7" s="1132"/>
      <c r="X7" s="1132"/>
      <c r="Y7" s="1132"/>
      <c r="Z7" s="1132"/>
    </row>
    <row r="8" spans="1:26" ht="20.100000000000001" customHeight="1">
      <c r="A8" s="1131" t="s">
        <v>5</v>
      </c>
      <c r="B8" s="1132"/>
      <c r="C8" s="1132"/>
      <c r="D8" s="1132"/>
      <c r="E8" s="1132"/>
      <c r="F8" s="1132"/>
      <c r="G8" s="1132"/>
      <c r="H8" s="1132"/>
      <c r="I8" s="1132"/>
      <c r="J8" s="1132"/>
      <c r="K8" s="1132"/>
      <c r="L8" s="1132"/>
      <c r="M8" s="1132"/>
      <c r="N8" s="1132"/>
      <c r="O8" s="1132"/>
      <c r="P8" s="1132"/>
      <c r="Q8" s="1132"/>
      <c r="R8" s="1132"/>
      <c r="S8" s="1132"/>
      <c r="T8" s="1132"/>
      <c r="U8" s="1132"/>
      <c r="V8" s="1132"/>
      <c r="W8" s="1132"/>
      <c r="X8" s="1132"/>
      <c r="Y8" s="1132"/>
      <c r="Z8" s="1132"/>
    </row>
    <row r="9" spans="1:26" ht="20.100000000000001" customHeight="1">
      <c r="A9" s="1132" t="s">
        <v>344</v>
      </c>
      <c r="B9" s="1132"/>
      <c r="C9" s="1132"/>
      <c r="D9" s="1132"/>
      <c r="E9" s="1132"/>
      <c r="F9" s="1150" t="s">
        <v>343</v>
      </c>
      <c r="G9" s="1150"/>
      <c r="H9" s="1150"/>
      <c r="I9" s="815" t="s">
        <v>345</v>
      </c>
      <c r="J9" s="815"/>
      <c r="K9" s="815"/>
      <c r="L9" s="815"/>
      <c r="M9" s="815"/>
      <c r="N9" s="815"/>
      <c r="O9" s="815"/>
      <c r="P9" s="815"/>
      <c r="Q9" s="815"/>
      <c r="R9" s="815"/>
      <c r="S9" s="815"/>
      <c r="T9" s="815"/>
      <c r="U9" s="815"/>
      <c r="V9" s="815"/>
      <c r="W9" s="815"/>
      <c r="X9" s="815"/>
      <c r="Y9" s="815"/>
      <c r="Z9" s="815"/>
    </row>
    <row r="10" spans="1:26" ht="20.100000000000001" customHeight="1">
      <c r="A10" s="1151" t="s">
        <v>3052</v>
      </c>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row>
    <row r="11" spans="1:26">
      <c r="A11" s="1151"/>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row>
    <row r="12" spans="1:26" ht="20.100000000000001" customHeight="1">
      <c r="A12" s="1132" t="s">
        <v>3051</v>
      </c>
      <c r="B12" s="1132"/>
      <c r="C12" s="1132"/>
      <c r="D12" s="1132"/>
      <c r="E12" s="1132"/>
      <c r="F12" s="1132"/>
      <c r="G12" s="1132"/>
      <c r="H12" s="1132"/>
      <c r="I12" s="1132"/>
      <c r="J12" s="1132"/>
      <c r="K12" s="1132"/>
      <c r="L12" s="1132"/>
      <c r="M12" s="1132"/>
      <c r="N12" s="1132"/>
      <c r="O12" s="1132"/>
      <c r="P12" s="1132"/>
      <c r="Q12" s="1132"/>
      <c r="R12" s="1132"/>
      <c r="S12" s="1132"/>
      <c r="T12" s="1132"/>
      <c r="U12" s="1132"/>
      <c r="V12" s="1132"/>
      <c r="W12" s="1132"/>
      <c r="X12" s="1132"/>
      <c r="Y12" s="1132"/>
      <c r="Z12" s="1132"/>
    </row>
    <row r="13" spans="1:26" ht="20.100000000000001" customHeight="1"/>
    <row r="14" spans="1:26" ht="20.100000000000001" customHeight="1">
      <c r="A14" s="1131" t="s">
        <v>6</v>
      </c>
      <c r="B14" s="1132"/>
      <c r="C14" s="1132"/>
      <c r="D14" s="1132"/>
      <c r="E14" s="1132"/>
      <c r="F14" s="1132"/>
      <c r="G14" s="1132"/>
      <c r="H14" s="1132"/>
      <c r="I14" s="1132"/>
      <c r="J14" s="1132"/>
      <c r="K14" s="1132"/>
      <c r="L14" s="1132"/>
      <c r="M14" s="1132"/>
      <c r="N14" s="1132"/>
      <c r="O14" s="1132"/>
      <c r="P14" s="1132"/>
      <c r="Q14" s="1132"/>
      <c r="R14" s="1132"/>
      <c r="S14" s="1132"/>
      <c r="T14" s="1132"/>
      <c r="U14" s="1132"/>
      <c r="V14" s="1132"/>
      <c r="W14" s="1132"/>
      <c r="X14" s="1132"/>
      <c r="Y14" s="1132"/>
      <c r="Z14" s="1132"/>
    </row>
    <row r="15" spans="1:26" ht="20.100000000000001" customHeight="1">
      <c r="A15" s="816"/>
      <c r="B15" s="1120" t="s">
        <v>336</v>
      </c>
      <c r="C15" s="1121"/>
      <c r="D15" s="1121"/>
      <c r="E15" s="1121"/>
      <c r="F15" s="1121"/>
      <c r="G15" s="1121"/>
      <c r="H15" s="1121"/>
      <c r="I15" s="1115" t="s">
        <v>2</v>
      </c>
      <c r="J15" s="1115"/>
      <c r="K15" s="1115"/>
      <c r="L15" s="1115"/>
      <c r="M15" s="1115"/>
      <c r="N15" s="1115"/>
      <c r="O15" s="1115"/>
      <c r="P15" s="1120" t="s">
        <v>2</v>
      </c>
      <c r="Q15" s="1121"/>
      <c r="R15" s="1121"/>
      <c r="S15" s="1121"/>
      <c r="T15" s="1121"/>
      <c r="U15" s="1121"/>
      <c r="V15" s="1121"/>
      <c r="W15" s="1121"/>
      <c r="X15" s="1121"/>
      <c r="Y15" s="1121"/>
      <c r="Z15" s="1143"/>
    </row>
    <row r="16" spans="1:26" ht="20.100000000000001" customHeight="1">
      <c r="A16" s="817"/>
      <c r="B16" s="1117" t="s">
        <v>337</v>
      </c>
      <c r="C16" s="1118"/>
      <c r="D16" s="1118"/>
      <c r="E16" s="1118"/>
      <c r="F16" s="1118"/>
      <c r="G16" s="1118"/>
      <c r="H16" s="1119"/>
      <c r="I16" s="1116" t="s">
        <v>2980</v>
      </c>
      <c r="J16" s="1116"/>
      <c r="K16" s="1116"/>
      <c r="L16" s="1116"/>
      <c r="M16" s="1116"/>
      <c r="N16" s="1116"/>
      <c r="O16" s="1116"/>
      <c r="P16" s="1116" t="s">
        <v>341</v>
      </c>
      <c r="Q16" s="1116"/>
      <c r="R16" s="1116"/>
      <c r="S16" s="1116"/>
      <c r="T16" s="1116"/>
      <c r="U16" s="1116"/>
      <c r="V16" s="1116"/>
      <c r="W16" s="1116"/>
      <c r="X16" s="1116"/>
      <c r="Y16" s="1116"/>
      <c r="Z16" s="1116"/>
    </row>
    <row r="17" spans="1:29" ht="20.100000000000001" customHeight="1">
      <c r="A17" s="815"/>
      <c r="B17" s="1117" t="s">
        <v>338</v>
      </c>
      <c r="C17" s="1118"/>
      <c r="D17" s="1118"/>
      <c r="E17" s="1118"/>
      <c r="F17" s="1118"/>
      <c r="G17" s="1118"/>
      <c r="H17" s="1119"/>
      <c r="I17" s="1116" t="s">
        <v>2980</v>
      </c>
      <c r="J17" s="1116"/>
      <c r="K17" s="1116"/>
      <c r="L17" s="1116"/>
      <c r="M17" s="1116"/>
      <c r="N17" s="1116"/>
      <c r="O17" s="1116"/>
      <c r="P17" s="1116"/>
      <c r="Q17" s="1116"/>
      <c r="R17" s="1116"/>
      <c r="S17" s="1116"/>
      <c r="T17" s="1116"/>
      <c r="U17" s="1116"/>
      <c r="V17" s="1116"/>
      <c r="W17" s="1116"/>
      <c r="X17" s="1116"/>
      <c r="Y17" s="1116"/>
      <c r="Z17" s="1116"/>
      <c r="AC17" s="812"/>
    </row>
    <row r="18" spans="1:29" ht="20.100000000000001" customHeight="1">
      <c r="A18" s="817"/>
      <c r="B18" s="1117" t="s">
        <v>339</v>
      </c>
      <c r="C18" s="1118"/>
      <c r="D18" s="1118"/>
      <c r="E18" s="1118"/>
      <c r="F18" s="1118"/>
      <c r="G18" s="1118"/>
      <c r="H18" s="1119"/>
      <c r="I18" s="1116" t="s">
        <v>2980</v>
      </c>
      <c r="J18" s="1116"/>
      <c r="K18" s="1116"/>
      <c r="L18" s="1116"/>
      <c r="M18" s="1116"/>
      <c r="N18" s="1116"/>
      <c r="O18" s="1116"/>
      <c r="P18" s="1116"/>
      <c r="Q18" s="1116"/>
      <c r="R18" s="1116"/>
      <c r="S18" s="1116"/>
      <c r="T18" s="1116"/>
      <c r="U18" s="1116"/>
      <c r="V18" s="1116"/>
      <c r="W18" s="1116"/>
      <c r="X18" s="1116"/>
      <c r="Y18" s="1116"/>
      <c r="Z18" s="1116"/>
    </row>
    <row r="19" spans="1:29" ht="20.100000000000001" customHeight="1">
      <c r="A19" s="815"/>
      <c r="B19" s="1126" t="s">
        <v>340</v>
      </c>
      <c r="C19" s="1127"/>
      <c r="D19" s="1127"/>
      <c r="E19" s="1127"/>
      <c r="F19" s="1127"/>
      <c r="G19" s="1127"/>
      <c r="H19" s="1128"/>
      <c r="I19" s="1129" t="s">
        <v>2981</v>
      </c>
      <c r="J19" s="1129"/>
      <c r="K19" s="1129"/>
      <c r="L19" s="1129"/>
      <c r="M19" s="1129"/>
      <c r="N19" s="1129"/>
      <c r="O19" s="1129"/>
      <c r="P19" s="1106" t="s">
        <v>2990</v>
      </c>
      <c r="Q19" s="1107"/>
      <c r="R19" s="1107"/>
      <c r="S19" s="1107"/>
      <c r="T19" s="1107"/>
      <c r="U19" s="1107"/>
      <c r="V19" s="1107"/>
      <c r="W19" s="1107"/>
      <c r="X19" s="1107"/>
      <c r="Y19" s="1107"/>
      <c r="Z19" s="1108"/>
    </row>
    <row r="20" spans="1:29" ht="20.100000000000001" customHeight="1">
      <c r="A20" s="815"/>
      <c r="B20" s="1126" t="s">
        <v>2983</v>
      </c>
      <c r="C20" s="1127"/>
      <c r="D20" s="1127"/>
      <c r="E20" s="1127"/>
      <c r="F20" s="1127"/>
      <c r="G20" s="1127"/>
      <c r="H20" s="1128"/>
      <c r="I20" s="1129" t="s">
        <v>2982</v>
      </c>
      <c r="J20" s="1129"/>
      <c r="K20" s="1129"/>
      <c r="L20" s="1129"/>
      <c r="M20" s="1129"/>
      <c r="N20" s="1129"/>
      <c r="O20" s="1129"/>
      <c r="P20" s="1109"/>
      <c r="Q20" s="1110"/>
      <c r="R20" s="1110"/>
      <c r="S20" s="1110"/>
      <c r="T20" s="1110"/>
      <c r="U20" s="1110"/>
      <c r="V20" s="1110"/>
      <c r="W20" s="1110"/>
      <c r="X20" s="1110"/>
      <c r="Y20" s="1110"/>
      <c r="Z20" s="1111"/>
    </row>
    <row r="21" spans="1:29" ht="20.100000000000001" customHeight="1">
      <c r="A21" s="817"/>
      <c r="B21" s="1126" t="s">
        <v>2984</v>
      </c>
      <c r="C21" s="1127"/>
      <c r="D21" s="1127"/>
      <c r="E21" s="1127"/>
      <c r="F21" s="1127"/>
      <c r="G21" s="1127"/>
      <c r="H21" s="1128"/>
      <c r="I21" s="1129" t="s">
        <v>2982</v>
      </c>
      <c r="J21" s="1129"/>
      <c r="K21" s="1129"/>
      <c r="L21" s="1129"/>
      <c r="M21" s="1129"/>
      <c r="N21" s="1129"/>
      <c r="O21" s="1129"/>
      <c r="P21" s="1109"/>
      <c r="Q21" s="1110"/>
      <c r="R21" s="1110"/>
      <c r="S21" s="1110"/>
      <c r="T21" s="1110"/>
      <c r="U21" s="1110"/>
      <c r="V21" s="1110"/>
      <c r="W21" s="1110"/>
      <c r="X21" s="1110"/>
      <c r="Y21" s="1110"/>
      <c r="Z21" s="1111"/>
    </row>
    <row r="22" spans="1:29" ht="20.100000000000001" customHeight="1">
      <c r="A22" s="815"/>
      <c r="B22" s="1126" t="s">
        <v>2985</v>
      </c>
      <c r="C22" s="1127"/>
      <c r="D22" s="1127"/>
      <c r="E22" s="1127"/>
      <c r="F22" s="1127"/>
      <c r="G22" s="1127"/>
      <c r="H22" s="1128"/>
      <c r="I22" s="1129" t="s">
        <v>2982</v>
      </c>
      <c r="J22" s="1129"/>
      <c r="K22" s="1129"/>
      <c r="L22" s="1129"/>
      <c r="M22" s="1129"/>
      <c r="N22" s="1129"/>
      <c r="O22" s="1129"/>
      <c r="P22" s="1109"/>
      <c r="Q22" s="1110"/>
      <c r="R22" s="1110"/>
      <c r="S22" s="1110"/>
      <c r="T22" s="1110"/>
      <c r="U22" s="1110"/>
      <c r="V22" s="1110"/>
      <c r="W22" s="1110"/>
      <c r="X22" s="1110"/>
      <c r="Y22" s="1110"/>
      <c r="Z22" s="1111"/>
    </row>
    <row r="23" spans="1:29" ht="20.100000000000001" customHeight="1">
      <c r="A23" s="817"/>
      <c r="B23" s="1126" t="s">
        <v>2991</v>
      </c>
      <c r="C23" s="1127"/>
      <c r="D23" s="1127"/>
      <c r="E23" s="1127"/>
      <c r="F23" s="1127"/>
      <c r="G23" s="1127"/>
      <c r="H23" s="1128"/>
      <c r="I23" s="1129" t="s">
        <v>2982</v>
      </c>
      <c r="J23" s="1129"/>
      <c r="K23" s="1129"/>
      <c r="L23" s="1129"/>
      <c r="M23" s="1129"/>
      <c r="N23" s="1129"/>
      <c r="O23" s="1129"/>
      <c r="P23" s="1109"/>
      <c r="Q23" s="1110"/>
      <c r="R23" s="1110"/>
      <c r="S23" s="1110"/>
      <c r="T23" s="1110"/>
      <c r="U23" s="1110"/>
      <c r="V23" s="1110"/>
      <c r="W23" s="1110"/>
      <c r="X23" s="1110"/>
      <c r="Y23" s="1110"/>
      <c r="Z23" s="1111"/>
    </row>
    <row r="24" spans="1:29" ht="20.100000000000001" customHeight="1">
      <c r="A24" s="815"/>
      <c r="B24" s="1123" t="s">
        <v>2992</v>
      </c>
      <c r="C24" s="1124"/>
      <c r="D24" s="1124"/>
      <c r="E24" s="1124"/>
      <c r="F24" s="1124"/>
      <c r="G24" s="1124"/>
      <c r="H24" s="1125"/>
      <c r="I24" s="1122" t="s">
        <v>342</v>
      </c>
      <c r="J24" s="1122"/>
      <c r="K24" s="1122"/>
      <c r="L24" s="1122"/>
      <c r="M24" s="1122"/>
      <c r="N24" s="1122"/>
      <c r="O24" s="1122"/>
      <c r="P24" s="1112"/>
      <c r="Q24" s="1113"/>
      <c r="R24" s="1113"/>
      <c r="S24" s="1113"/>
      <c r="T24" s="1113"/>
      <c r="U24" s="1113"/>
      <c r="V24" s="1113"/>
      <c r="W24" s="1113"/>
      <c r="X24" s="1113"/>
      <c r="Y24" s="1113"/>
      <c r="Z24" s="1114"/>
    </row>
    <row r="25" spans="1:29" ht="20.100000000000001" customHeight="1">
      <c r="A25" s="817"/>
      <c r="P25" s="881"/>
      <c r="Q25" s="881"/>
      <c r="R25" s="881"/>
      <c r="S25" s="881"/>
      <c r="T25" s="881"/>
      <c r="U25" s="881"/>
      <c r="V25" s="881"/>
      <c r="W25" s="881"/>
      <c r="X25" s="881"/>
      <c r="Y25" s="881"/>
      <c r="Z25" s="881"/>
    </row>
    <row r="26" spans="1:29" ht="20.100000000000001" customHeight="1" thickBot="1">
      <c r="A26" s="1131" t="s">
        <v>8</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row>
    <row r="27" spans="1:29" ht="20.100000000000001" customHeight="1" thickBot="1">
      <c r="A27" s="817"/>
      <c r="B27" s="1133"/>
      <c r="C27" s="1133"/>
      <c r="D27" s="1135" t="s">
        <v>1</v>
      </c>
      <c r="E27" s="1136"/>
      <c r="F27" s="1144" t="s">
        <v>3</v>
      </c>
      <c r="G27" s="1144"/>
      <c r="H27" s="1144"/>
      <c r="I27" s="1144"/>
      <c r="J27" s="1144"/>
      <c r="K27" s="1144"/>
      <c r="L27" s="1144"/>
      <c r="M27" s="1144"/>
      <c r="N27" s="1144"/>
      <c r="O27" s="1144"/>
      <c r="P27" s="1144"/>
      <c r="Q27" s="1144"/>
      <c r="R27" s="1144"/>
      <c r="S27" s="1144"/>
      <c r="T27" s="1144"/>
      <c r="U27" s="1144"/>
      <c r="V27" s="1144"/>
      <c r="W27" s="1144"/>
      <c r="X27" s="1144"/>
      <c r="Y27" s="1144"/>
      <c r="Z27" s="1145"/>
    </row>
    <row r="28" spans="1:29" ht="20.100000000000001" customHeight="1">
      <c r="A28" s="817"/>
      <c r="B28" s="1134"/>
      <c r="C28" s="1134"/>
      <c r="D28" s="1120" t="s">
        <v>0</v>
      </c>
      <c r="E28" s="1143"/>
      <c r="F28" s="1140" t="s">
        <v>9</v>
      </c>
      <c r="G28" s="1141"/>
      <c r="H28" s="1141"/>
      <c r="I28" s="1141"/>
      <c r="J28" s="1141"/>
      <c r="K28" s="1141"/>
      <c r="L28" s="1141"/>
      <c r="M28" s="1141"/>
      <c r="N28" s="1141"/>
      <c r="O28" s="1141"/>
      <c r="P28" s="1141"/>
      <c r="Q28" s="1141"/>
      <c r="R28" s="1141"/>
      <c r="S28" s="1141"/>
      <c r="T28" s="1141"/>
      <c r="U28" s="1141"/>
      <c r="V28" s="1141"/>
      <c r="W28" s="1141"/>
      <c r="X28" s="1141"/>
      <c r="Y28" s="1141"/>
      <c r="Z28" s="1142"/>
    </row>
    <row r="29" spans="1:29" ht="20.100000000000001" customHeight="1">
      <c r="A29" s="1137"/>
      <c r="B29" s="1137"/>
      <c r="C29" s="1137"/>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row>
    <row r="30" spans="1:29" ht="20.100000000000001" customHeight="1">
      <c r="A30" s="1139"/>
      <c r="B30" s="1139"/>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39"/>
      <c r="Z30" s="1139"/>
    </row>
    <row r="31" spans="1:29" ht="20.100000000000001" customHeight="1">
      <c r="A31" s="1138"/>
      <c r="B31" s="1138"/>
      <c r="C31" s="1138"/>
      <c r="D31" s="1138"/>
      <c r="E31" s="1138"/>
      <c r="F31" s="1138"/>
      <c r="G31" s="1138"/>
      <c r="H31" s="1138"/>
      <c r="I31" s="1138"/>
      <c r="J31" s="1138"/>
      <c r="K31" s="1138"/>
      <c r="L31" s="1138"/>
      <c r="M31" s="1138"/>
      <c r="N31" s="1138"/>
      <c r="O31" s="1138"/>
      <c r="P31" s="1138"/>
      <c r="Q31" s="1138"/>
      <c r="R31" s="1138"/>
      <c r="S31" s="1138"/>
      <c r="T31" s="1138"/>
      <c r="U31" s="1138"/>
      <c r="V31" s="1138"/>
      <c r="W31" s="1138"/>
      <c r="X31" s="1138"/>
      <c r="Y31" s="1138"/>
      <c r="Z31" s="1138"/>
    </row>
    <row r="32" spans="1:29" ht="20.100000000000001" customHeight="1">
      <c r="A32" s="1138"/>
      <c r="B32" s="1138"/>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row>
    <row r="33" spans="1:26" ht="20.100000000000001" customHeight="1">
      <c r="A33" s="1138"/>
      <c r="B33" s="1138"/>
      <c r="C33" s="1138"/>
      <c r="D33" s="1138"/>
      <c r="E33" s="1138"/>
      <c r="F33" s="1138"/>
      <c r="G33" s="1138"/>
      <c r="H33" s="1138"/>
      <c r="I33" s="1138"/>
      <c r="J33" s="1138"/>
      <c r="K33" s="1138"/>
      <c r="L33" s="1138"/>
      <c r="M33" s="1138"/>
      <c r="N33" s="1138"/>
      <c r="O33" s="1138"/>
      <c r="P33" s="1138"/>
      <c r="Q33" s="1138"/>
      <c r="R33" s="1138"/>
      <c r="S33" s="1138"/>
      <c r="T33" s="1138"/>
      <c r="U33" s="1138"/>
      <c r="V33" s="1138"/>
      <c r="W33" s="1138"/>
      <c r="X33" s="1138"/>
      <c r="Y33" s="1138"/>
      <c r="Z33" s="1138"/>
    </row>
    <row r="34" spans="1:26" ht="20.100000000000001" customHeight="1">
      <c r="A34" s="1138"/>
      <c r="B34" s="1138"/>
      <c r="C34" s="1138"/>
      <c r="D34" s="1138"/>
      <c r="E34" s="1138"/>
      <c r="F34" s="1138"/>
      <c r="G34" s="1138"/>
      <c r="H34" s="1138"/>
      <c r="I34" s="1138"/>
      <c r="J34" s="1138"/>
      <c r="K34" s="1138"/>
      <c r="L34" s="1138"/>
      <c r="M34" s="1138"/>
      <c r="N34" s="1138"/>
      <c r="O34" s="1138"/>
      <c r="P34" s="1138"/>
      <c r="Q34" s="1138"/>
      <c r="R34" s="1138"/>
      <c r="S34" s="1138"/>
      <c r="T34" s="1138"/>
      <c r="U34" s="1138"/>
      <c r="V34" s="1138"/>
      <c r="W34" s="1138"/>
      <c r="X34" s="1138"/>
      <c r="Y34" s="1138"/>
      <c r="Z34" s="1138"/>
    </row>
    <row r="35" spans="1:26" ht="20.100000000000001" customHeight="1">
      <c r="A35" s="1130"/>
      <c r="B35" s="1130"/>
      <c r="C35" s="1130"/>
      <c r="D35" s="1130"/>
      <c r="E35" s="1130"/>
      <c r="F35" s="1130"/>
      <c r="G35" s="1130"/>
      <c r="H35" s="1130"/>
      <c r="I35" s="1130"/>
      <c r="J35" s="1130"/>
      <c r="K35" s="1130"/>
      <c r="L35" s="1130"/>
      <c r="M35" s="1130"/>
      <c r="N35" s="1130"/>
      <c r="O35" s="1130"/>
      <c r="P35" s="1130"/>
      <c r="Q35" s="1130"/>
      <c r="R35" s="1130"/>
      <c r="S35" s="1130"/>
      <c r="T35" s="1130"/>
      <c r="U35" s="1130"/>
      <c r="V35" s="1130"/>
      <c r="W35" s="1130"/>
      <c r="X35" s="1130"/>
      <c r="Y35" s="1130"/>
      <c r="Z35" s="1130"/>
    </row>
    <row r="36" spans="1:26" ht="20.100000000000001" customHeight="1">
      <c r="A36" s="1130"/>
      <c r="B36" s="1130"/>
      <c r="C36" s="1130"/>
      <c r="D36" s="1130"/>
      <c r="E36" s="1130"/>
      <c r="F36" s="1130"/>
      <c r="G36" s="1130"/>
      <c r="H36" s="1130"/>
      <c r="I36" s="1130"/>
      <c r="J36" s="1130"/>
      <c r="K36" s="1130"/>
      <c r="L36" s="1130"/>
      <c r="M36" s="1130"/>
      <c r="N36" s="1130"/>
      <c r="O36" s="1130"/>
      <c r="P36" s="1130"/>
      <c r="Q36" s="1130"/>
      <c r="R36" s="1130"/>
      <c r="S36" s="1130"/>
      <c r="T36" s="1130"/>
      <c r="U36" s="1130"/>
      <c r="V36" s="1130"/>
      <c r="W36" s="1130"/>
      <c r="X36" s="1130"/>
      <c r="Y36" s="1130"/>
      <c r="Z36" s="1130"/>
    </row>
  </sheetData>
  <sheetProtection algorithmName="SHA-512" hashValue="B5kXWKqS/+1+NU3JwkOE6b+rkmebbRJPvDnGNsXCGUQQ8vrB+eUrQi4o4L84m1aM+FBinhJDyMFzNxkuoOtq+Q==" saltValue="NWgZKKm6WZqUY1lO3bz2vw==" spinCount="100000" sheet="1" selectLockedCells="1" selectUnlockedCells="1"/>
  <mergeCells count="51">
    <mergeCell ref="A2:Z2"/>
    <mergeCell ref="A6:Z6"/>
    <mergeCell ref="A5:Z5"/>
    <mergeCell ref="P15:Z15"/>
    <mergeCell ref="A7:Z7"/>
    <mergeCell ref="A8:Z8"/>
    <mergeCell ref="I4:R4"/>
    <mergeCell ref="A4:H4"/>
    <mergeCell ref="A9:E9"/>
    <mergeCell ref="F9:H9"/>
    <mergeCell ref="A10:Z11"/>
    <mergeCell ref="A12:Z12"/>
    <mergeCell ref="A14:Z14"/>
    <mergeCell ref="S4:Z4"/>
    <mergeCell ref="B21:H21"/>
    <mergeCell ref="B22:H22"/>
    <mergeCell ref="I22:O22"/>
    <mergeCell ref="I23:O23"/>
    <mergeCell ref="B23:H23"/>
    <mergeCell ref="I21:O21"/>
    <mergeCell ref="A36:Z36"/>
    <mergeCell ref="A26:Z26"/>
    <mergeCell ref="B27:C27"/>
    <mergeCell ref="B28:C28"/>
    <mergeCell ref="D27:E27"/>
    <mergeCell ref="A29:Z29"/>
    <mergeCell ref="A34:Z34"/>
    <mergeCell ref="A32:Z32"/>
    <mergeCell ref="A35:Z35"/>
    <mergeCell ref="A30:Z30"/>
    <mergeCell ref="A31:Z31"/>
    <mergeCell ref="A33:Z33"/>
    <mergeCell ref="F28:Z28"/>
    <mergeCell ref="D28:E28"/>
    <mergeCell ref="F27:Z27"/>
    <mergeCell ref="P19:Z24"/>
    <mergeCell ref="I15:O15"/>
    <mergeCell ref="P16:Z18"/>
    <mergeCell ref="B18:H18"/>
    <mergeCell ref="I16:O16"/>
    <mergeCell ref="I17:O17"/>
    <mergeCell ref="I18:O18"/>
    <mergeCell ref="B17:H17"/>
    <mergeCell ref="B16:H16"/>
    <mergeCell ref="B15:H15"/>
    <mergeCell ref="I24:O24"/>
    <mergeCell ref="B24:H24"/>
    <mergeCell ref="B20:H20"/>
    <mergeCell ref="I20:O20"/>
    <mergeCell ref="B19:H19"/>
    <mergeCell ref="I19:O19"/>
  </mergeCells>
  <phoneticPr fontId="5"/>
  <printOptions horizontalCentered="1"/>
  <pageMargins left="0.39370078740157483" right="0.39370078740157483" top="0.39370078740157483" bottom="0.59055118110236227" header="0" footer="0"/>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D49"/>
  <sheetViews>
    <sheetView showZeros="0" view="pageBreakPreview" zoomScaleNormal="80" zoomScaleSheetLayoutView="100" workbookViewId="0">
      <selection activeCell="P14" sqref="P14:Z14"/>
    </sheetView>
  </sheetViews>
  <sheetFormatPr defaultRowHeight="13.5"/>
  <cols>
    <col min="1" max="15" width="3.625" style="1" customWidth="1"/>
    <col min="16" max="26" width="4.125" style="1" customWidth="1"/>
    <col min="27" max="52" width="3.625" style="1" customWidth="1"/>
    <col min="53" max="16384" width="9" style="1"/>
  </cols>
  <sheetData>
    <row r="1" spans="1:56" ht="28.5" customHeight="1">
      <c r="A1" s="2599"/>
      <c r="B1" s="2599"/>
      <c r="C1" s="2599"/>
      <c r="D1" s="2599"/>
      <c r="E1" s="2599"/>
      <c r="F1" s="2599"/>
      <c r="G1" s="2599"/>
      <c r="H1" s="2599"/>
      <c r="I1" s="2599"/>
      <c r="J1" s="2599"/>
      <c r="K1" s="2599"/>
      <c r="L1" s="2599"/>
      <c r="M1" s="2599"/>
      <c r="N1" s="2599"/>
      <c r="O1" s="2599"/>
      <c r="P1" s="2599"/>
      <c r="Q1" s="2599"/>
      <c r="R1" s="2599"/>
      <c r="S1" s="2599"/>
      <c r="T1" s="2599"/>
      <c r="U1" s="2599"/>
      <c r="V1" s="2599"/>
      <c r="W1" s="2599"/>
      <c r="X1" s="2599"/>
      <c r="Y1" s="2599"/>
      <c r="Z1" s="2599"/>
      <c r="AA1" s="2599"/>
      <c r="AB1" s="2599"/>
      <c r="AC1" s="2599"/>
      <c r="AD1" s="2599"/>
      <c r="AE1" s="2599"/>
      <c r="AF1" s="2599"/>
      <c r="AG1" s="2599"/>
      <c r="AH1" s="2599"/>
      <c r="AI1" s="2599"/>
      <c r="AJ1" s="2599"/>
      <c r="AK1" s="2599"/>
      <c r="AL1" s="2599"/>
      <c r="AM1" s="2599"/>
      <c r="AN1" s="2599"/>
      <c r="AO1" s="2599"/>
      <c r="AP1" s="2599"/>
      <c r="AQ1" s="2599"/>
      <c r="AR1" s="2599"/>
      <c r="AS1" s="2599"/>
      <c r="AT1" s="2599"/>
      <c r="AU1" s="2599"/>
      <c r="AV1" s="2599"/>
      <c r="AW1" s="2599"/>
      <c r="AX1" s="2599"/>
      <c r="AY1" s="2599"/>
      <c r="AZ1" s="2599"/>
    </row>
    <row r="2" spans="1:56" ht="23.25">
      <c r="A2" s="2596" t="s">
        <v>278</v>
      </c>
      <c r="B2" s="2596"/>
      <c r="C2" s="2596"/>
      <c r="D2" s="2596"/>
      <c r="E2" s="2596"/>
      <c r="F2" s="2596"/>
      <c r="G2" s="2596"/>
      <c r="H2" s="2596"/>
      <c r="I2" s="2596"/>
      <c r="J2" s="2596"/>
      <c r="K2" s="2596"/>
      <c r="L2" s="2596"/>
      <c r="M2" s="2596"/>
      <c r="N2" s="2596"/>
      <c r="O2" s="2596"/>
      <c r="P2" s="2596"/>
      <c r="Q2" s="2596"/>
      <c r="R2" s="2596"/>
      <c r="S2" s="2596"/>
      <c r="T2" s="2596"/>
      <c r="U2" s="2596"/>
      <c r="V2" s="2596"/>
      <c r="W2" s="2596"/>
      <c r="X2" s="2596"/>
      <c r="Y2" s="2596"/>
      <c r="Z2" s="2596"/>
      <c r="AA2" s="2596" t="s">
        <v>278</v>
      </c>
      <c r="AB2" s="2596"/>
      <c r="AC2" s="2596"/>
      <c r="AD2" s="2596"/>
      <c r="AE2" s="2596"/>
      <c r="AF2" s="2596"/>
      <c r="AG2" s="2596"/>
      <c r="AH2" s="2596"/>
      <c r="AI2" s="2596"/>
      <c r="AJ2" s="2596"/>
      <c r="AK2" s="2596"/>
      <c r="AL2" s="2596"/>
      <c r="AM2" s="2596"/>
      <c r="AN2" s="2596"/>
      <c r="AO2" s="2596"/>
      <c r="AP2" s="2596"/>
      <c r="AQ2" s="2596"/>
      <c r="AR2" s="2596"/>
      <c r="AS2" s="2596"/>
      <c r="AT2" s="2596"/>
      <c r="AU2" s="2596"/>
      <c r="AV2" s="2596"/>
      <c r="AW2" s="2596"/>
      <c r="AX2" s="2596"/>
      <c r="AY2" s="2596"/>
      <c r="AZ2" s="2596"/>
    </row>
    <row r="3" spans="1:56" ht="28.5" customHeight="1">
      <c r="A3" s="2599"/>
      <c r="B3" s="2599"/>
      <c r="C3" s="2599"/>
      <c r="D3" s="2599"/>
      <c r="E3" s="2599"/>
      <c r="F3" s="2599"/>
      <c r="G3" s="2599"/>
      <c r="H3" s="2599"/>
      <c r="I3" s="2599"/>
      <c r="J3" s="2599"/>
      <c r="K3" s="2599"/>
      <c r="L3" s="2599"/>
      <c r="M3" s="2599"/>
      <c r="N3" s="2599"/>
      <c r="O3" s="2599"/>
      <c r="P3" s="2599"/>
      <c r="Q3" s="2599"/>
      <c r="R3" s="2599"/>
      <c r="S3" s="2599"/>
      <c r="T3" s="2599"/>
      <c r="U3" s="2599"/>
      <c r="V3" s="2599"/>
      <c r="W3" s="2599"/>
      <c r="X3" s="2599"/>
      <c r="Y3" s="2599"/>
      <c r="Z3" s="2599"/>
      <c r="AA3" s="2599"/>
      <c r="AB3" s="2599"/>
      <c r="AC3" s="2599"/>
      <c r="AD3" s="2599"/>
      <c r="AE3" s="2599"/>
      <c r="AF3" s="2599"/>
      <c r="AG3" s="2599"/>
      <c r="AH3" s="2599"/>
      <c r="AI3" s="2599"/>
      <c r="AJ3" s="2599"/>
      <c r="AK3" s="2599"/>
      <c r="AL3" s="2599"/>
      <c r="AM3" s="2599"/>
      <c r="AN3" s="2599"/>
      <c r="AO3" s="2599"/>
      <c r="AP3" s="2599"/>
      <c r="AQ3" s="2599"/>
      <c r="AR3" s="2599"/>
      <c r="AS3" s="2599"/>
      <c r="AT3" s="2599"/>
      <c r="AU3" s="2599"/>
      <c r="AV3" s="2599"/>
      <c r="AW3" s="2599"/>
      <c r="AX3" s="2599"/>
      <c r="AY3" s="2599"/>
      <c r="AZ3" s="2599"/>
    </row>
    <row r="4" spans="1:56" ht="28.5" customHeight="1">
      <c r="A4" s="631"/>
      <c r="B4" s="631"/>
      <c r="C4" s="631"/>
      <c r="D4" s="631"/>
      <c r="E4" s="631"/>
      <c r="F4" s="631"/>
      <c r="G4" s="631"/>
      <c r="H4" s="631"/>
      <c r="I4" s="631"/>
      <c r="J4" s="631"/>
      <c r="K4" s="631"/>
      <c r="L4" s="631"/>
      <c r="M4" s="631"/>
      <c r="N4" s="631"/>
      <c r="O4" s="631"/>
      <c r="P4" s="631"/>
      <c r="Q4" s="631"/>
      <c r="R4" s="2752"/>
      <c r="S4" s="2752"/>
      <c r="T4" s="2752"/>
      <c r="U4" s="655" t="s">
        <v>18</v>
      </c>
      <c r="V4" s="1105"/>
      <c r="W4" s="655" t="s">
        <v>17</v>
      </c>
      <c r="X4" s="1105"/>
      <c r="Y4" s="655" t="s">
        <v>162</v>
      </c>
      <c r="Z4" s="655"/>
      <c r="AA4" s="631"/>
      <c r="AB4" s="631"/>
      <c r="AC4" s="631"/>
      <c r="AD4" s="631"/>
      <c r="AE4" s="631"/>
      <c r="AF4" s="631"/>
      <c r="AG4" s="631"/>
      <c r="AH4" s="631"/>
      <c r="AI4" s="631"/>
      <c r="AJ4" s="631"/>
      <c r="AK4" s="631"/>
      <c r="AL4" s="631"/>
      <c r="AM4" s="631"/>
      <c r="AN4" s="631"/>
      <c r="AO4" s="631"/>
      <c r="AP4" s="631"/>
      <c r="AQ4" s="631"/>
      <c r="AR4" s="2745" t="s">
        <v>2925</v>
      </c>
      <c r="AS4" s="2745"/>
      <c r="AT4" s="2745"/>
      <c r="AU4" s="655" t="s">
        <v>18</v>
      </c>
      <c r="AV4" s="656" t="s">
        <v>279</v>
      </c>
      <c r="AW4" s="655" t="s">
        <v>17</v>
      </c>
      <c r="AX4" s="656" t="s">
        <v>2864</v>
      </c>
      <c r="AY4" s="655" t="s">
        <v>162</v>
      </c>
      <c r="AZ4" s="655"/>
    </row>
    <row r="5" spans="1:56" ht="14.25" customHeight="1">
      <c r="A5" s="2599"/>
      <c r="B5" s="2599"/>
      <c r="C5" s="2599"/>
      <c r="D5" s="2599"/>
      <c r="E5" s="2599"/>
      <c r="F5" s="2599"/>
      <c r="G5" s="2599"/>
      <c r="H5" s="2599"/>
      <c r="I5" s="2599"/>
      <c r="J5" s="2599"/>
      <c r="K5" s="2599"/>
      <c r="L5" s="2599"/>
      <c r="M5" s="2599"/>
      <c r="N5" s="2599"/>
      <c r="O5" s="2599"/>
      <c r="P5" s="2599"/>
      <c r="Q5" s="2599"/>
      <c r="R5" s="2599"/>
      <c r="S5" s="2599"/>
      <c r="T5" s="2599"/>
      <c r="U5" s="2599"/>
      <c r="V5" s="2599"/>
      <c r="W5" s="2599"/>
      <c r="X5" s="2599"/>
      <c r="Y5" s="2599"/>
      <c r="Z5" s="2599"/>
      <c r="AA5" s="2599"/>
      <c r="AB5" s="2599"/>
      <c r="AC5" s="2599"/>
      <c r="AD5" s="2599"/>
      <c r="AE5" s="2599"/>
      <c r="AF5" s="2599"/>
      <c r="AG5" s="2599"/>
      <c r="AH5" s="2599"/>
      <c r="AI5" s="2599"/>
      <c r="AJ5" s="2599"/>
      <c r="AK5" s="2599"/>
      <c r="AL5" s="2599"/>
      <c r="AM5" s="2599"/>
      <c r="AN5" s="2599"/>
      <c r="AO5" s="2599"/>
      <c r="AP5" s="2599"/>
      <c r="AQ5" s="2599"/>
      <c r="AR5" s="2599"/>
      <c r="AS5" s="2599"/>
      <c r="AT5" s="2599"/>
      <c r="AU5" s="2599"/>
      <c r="AV5" s="2599"/>
      <c r="AW5" s="2599"/>
      <c r="AX5" s="2599"/>
      <c r="AY5" s="2599"/>
      <c r="AZ5" s="2599"/>
    </row>
    <row r="6" spans="1:56" ht="14.25" customHeight="1">
      <c r="A6" s="2602" t="s">
        <v>263</v>
      </c>
      <c r="B6" s="2602"/>
      <c r="C6" s="2602"/>
      <c r="D6" s="2602"/>
      <c r="E6" s="2602"/>
      <c r="F6" s="2602"/>
      <c r="G6" s="2602"/>
      <c r="H6" s="2602"/>
      <c r="I6" s="2602"/>
      <c r="J6" s="2602"/>
      <c r="K6" s="2602"/>
      <c r="L6" s="2602"/>
      <c r="M6" s="2602"/>
      <c r="N6" s="2602"/>
      <c r="O6" s="2602"/>
      <c r="P6" s="2602"/>
      <c r="Q6" s="2602"/>
      <c r="R6" s="2602"/>
      <c r="S6" s="2602"/>
      <c r="T6" s="2602"/>
      <c r="U6" s="2602"/>
      <c r="V6" s="2602"/>
      <c r="W6" s="2602"/>
      <c r="X6" s="2602"/>
      <c r="Y6" s="2602"/>
      <c r="Z6" s="2602"/>
      <c r="AA6" s="2602" t="s">
        <v>263</v>
      </c>
      <c r="AB6" s="2602"/>
      <c r="AC6" s="2602"/>
      <c r="AD6" s="2602"/>
      <c r="AE6" s="2602"/>
      <c r="AF6" s="2602"/>
      <c r="AG6" s="2602"/>
      <c r="AH6" s="2602"/>
      <c r="AI6" s="2602"/>
      <c r="AJ6" s="2602"/>
      <c r="AK6" s="2602"/>
      <c r="AL6" s="2602"/>
      <c r="AM6" s="2602"/>
      <c r="AN6" s="2602"/>
      <c r="AO6" s="2602"/>
      <c r="AP6" s="2602"/>
      <c r="AQ6" s="2602"/>
      <c r="AR6" s="2602"/>
      <c r="AS6" s="2602"/>
      <c r="AT6" s="2602"/>
      <c r="AU6" s="2602"/>
      <c r="AV6" s="2602"/>
      <c r="AW6" s="2602"/>
      <c r="AX6" s="2602"/>
      <c r="AY6" s="2602"/>
      <c r="AZ6" s="2602"/>
    </row>
    <row r="7" spans="1:56" ht="14.25" customHeight="1">
      <c r="A7" s="2602" t="s">
        <v>264</v>
      </c>
      <c r="B7" s="2602"/>
      <c r="C7" s="2602"/>
      <c r="D7" s="2602"/>
      <c r="E7" s="2602"/>
      <c r="F7" s="2602"/>
      <c r="G7" s="2602"/>
      <c r="H7" s="2602"/>
      <c r="I7" s="2602"/>
      <c r="J7" s="2602"/>
      <c r="K7" s="2602"/>
      <c r="L7" s="2602"/>
      <c r="M7" s="2602"/>
      <c r="N7" s="2602"/>
      <c r="O7" s="2602"/>
      <c r="P7" s="2602"/>
      <c r="Q7" s="2602"/>
      <c r="R7" s="2602"/>
      <c r="S7" s="2602"/>
      <c r="T7" s="2602"/>
      <c r="U7" s="2602"/>
      <c r="V7" s="2602"/>
      <c r="W7" s="2602"/>
      <c r="X7" s="2602"/>
      <c r="Y7" s="2602"/>
      <c r="Z7" s="2602"/>
      <c r="AA7" s="2602" t="s">
        <v>264</v>
      </c>
      <c r="AB7" s="2602"/>
      <c r="AC7" s="2602"/>
      <c r="AD7" s="2602"/>
      <c r="AE7" s="2602"/>
      <c r="AF7" s="2602"/>
      <c r="AG7" s="2602"/>
      <c r="AH7" s="2602"/>
      <c r="AI7" s="2602"/>
      <c r="AJ7" s="2602"/>
      <c r="AK7" s="2602"/>
      <c r="AL7" s="2602"/>
      <c r="AM7" s="2602"/>
      <c r="AN7" s="2602"/>
      <c r="AO7" s="2602"/>
      <c r="AP7" s="2602"/>
      <c r="AQ7" s="2602"/>
      <c r="AR7" s="2602"/>
      <c r="AS7" s="2602"/>
      <c r="AT7" s="2602"/>
      <c r="AU7" s="2602"/>
      <c r="AV7" s="2602"/>
      <c r="AW7" s="2602"/>
      <c r="AX7" s="2602"/>
      <c r="AY7" s="2602"/>
      <c r="AZ7" s="2602"/>
    </row>
    <row r="8" spans="1:56" ht="14.25" customHeight="1">
      <c r="A8" s="2602" t="s">
        <v>265</v>
      </c>
      <c r="B8" s="2602"/>
      <c r="C8" s="2602"/>
      <c r="D8" s="2602"/>
      <c r="E8" s="2602"/>
      <c r="F8" s="2602"/>
      <c r="G8" s="2602"/>
      <c r="H8" s="2602"/>
      <c r="I8" s="2602"/>
      <c r="J8" s="2602"/>
      <c r="K8" s="2602"/>
      <c r="L8" s="2602"/>
      <c r="M8" s="2602"/>
      <c r="N8" s="2602"/>
      <c r="O8" s="2602"/>
      <c r="P8" s="2602"/>
      <c r="Q8" s="2602"/>
      <c r="R8" s="2602"/>
      <c r="S8" s="2602"/>
      <c r="T8" s="2602"/>
      <c r="U8" s="2602"/>
      <c r="V8" s="2602"/>
      <c r="W8" s="2602"/>
      <c r="X8" s="2602"/>
      <c r="Y8" s="2602"/>
      <c r="Z8" s="2602"/>
      <c r="AA8" s="2602" t="s">
        <v>265</v>
      </c>
      <c r="AB8" s="2602"/>
      <c r="AC8" s="2602"/>
      <c r="AD8" s="2602"/>
      <c r="AE8" s="2602"/>
      <c r="AF8" s="2602"/>
      <c r="AG8" s="2602"/>
      <c r="AH8" s="2602"/>
      <c r="AI8" s="2602"/>
      <c r="AJ8" s="2602"/>
      <c r="AK8" s="2602"/>
      <c r="AL8" s="2602"/>
      <c r="AM8" s="2602"/>
      <c r="AN8" s="2602"/>
      <c r="AO8" s="2602"/>
      <c r="AP8" s="2602"/>
      <c r="AQ8" s="2602"/>
      <c r="AR8" s="2602"/>
      <c r="AS8" s="2602"/>
      <c r="AT8" s="2602"/>
      <c r="AU8" s="2602"/>
      <c r="AV8" s="2602"/>
      <c r="AW8" s="2602"/>
      <c r="AX8" s="2602"/>
      <c r="AY8" s="2602"/>
      <c r="AZ8" s="2602"/>
    </row>
    <row r="9" spans="1:56" ht="14.25" customHeight="1">
      <c r="A9" s="2602" t="s">
        <v>266</v>
      </c>
      <c r="B9" s="2602"/>
      <c r="C9" s="2602"/>
      <c r="D9" s="2602"/>
      <c r="E9" s="2602"/>
      <c r="F9" s="2602"/>
      <c r="G9" s="2602"/>
      <c r="H9" s="2602"/>
      <c r="I9" s="2602"/>
      <c r="J9" s="2602"/>
      <c r="K9" s="2602"/>
      <c r="L9" s="2602"/>
      <c r="M9" s="2602"/>
      <c r="N9" s="2602"/>
      <c r="O9" s="2602"/>
      <c r="P9" s="2602"/>
      <c r="Q9" s="2602"/>
      <c r="R9" s="2602"/>
      <c r="S9" s="2602"/>
      <c r="T9" s="2602"/>
      <c r="U9" s="2602"/>
      <c r="V9" s="2602"/>
      <c r="W9" s="2602"/>
      <c r="X9" s="2602"/>
      <c r="Y9" s="2602"/>
      <c r="Z9" s="2602"/>
      <c r="AA9" s="2602" t="s">
        <v>266</v>
      </c>
      <c r="AB9" s="2602"/>
      <c r="AC9" s="2602"/>
      <c r="AD9" s="2602"/>
      <c r="AE9" s="2602"/>
      <c r="AF9" s="2602"/>
      <c r="AG9" s="2602"/>
      <c r="AH9" s="2602"/>
      <c r="AI9" s="2602"/>
      <c r="AJ9" s="2602"/>
      <c r="AK9" s="2602"/>
      <c r="AL9" s="2602"/>
      <c r="AM9" s="2602"/>
      <c r="AN9" s="2602"/>
      <c r="AO9" s="2602"/>
      <c r="AP9" s="2602"/>
      <c r="AQ9" s="2602"/>
      <c r="AR9" s="2602"/>
      <c r="AS9" s="2602"/>
      <c r="AT9" s="2602"/>
      <c r="AU9" s="2602"/>
      <c r="AV9" s="2602"/>
      <c r="AW9" s="2602"/>
      <c r="AX9" s="2602"/>
      <c r="AY9" s="2602"/>
      <c r="AZ9" s="2602"/>
    </row>
    <row r="10" spans="1:56" ht="14.25" customHeight="1">
      <c r="A10" s="2602"/>
      <c r="B10" s="2602"/>
      <c r="C10" s="2602"/>
      <c r="D10" s="2602"/>
      <c r="E10" s="2602"/>
      <c r="F10" s="2602"/>
      <c r="G10" s="2602"/>
      <c r="H10" s="2602"/>
      <c r="I10" s="2602"/>
      <c r="J10" s="2602"/>
      <c r="K10" s="2602"/>
      <c r="L10" s="2602"/>
      <c r="M10" s="2602"/>
      <c r="N10" s="2602"/>
      <c r="O10" s="2602"/>
      <c r="P10" s="2602"/>
      <c r="Q10" s="2602"/>
      <c r="R10" s="2602"/>
      <c r="S10" s="2602"/>
      <c r="T10" s="2602"/>
      <c r="U10" s="2602"/>
      <c r="V10" s="2602"/>
      <c r="W10" s="2602"/>
      <c r="X10" s="2602"/>
      <c r="Y10" s="2602"/>
      <c r="Z10" s="2602"/>
      <c r="AA10" s="2602"/>
      <c r="AB10" s="2602"/>
      <c r="AC10" s="2602"/>
      <c r="AD10" s="2602"/>
      <c r="AE10" s="2602"/>
      <c r="AF10" s="2602"/>
      <c r="AG10" s="2602"/>
      <c r="AH10" s="2602"/>
      <c r="AI10" s="2602"/>
      <c r="AJ10" s="2602"/>
      <c r="AK10" s="2602"/>
      <c r="AL10" s="2602"/>
      <c r="AM10" s="2602"/>
      <c r="AN10" s="2602"/>
      <c r="AO10" s="2602"/>
      <c r="AP10" s="2602"/>
      <c r="AQ10" s="2602"/>
      <c r="AR10" s="2602"/>
      <c r="AS10" s="2602"/>
      <c r="AT10" s="2602"/>
      <c r="AU10" s="2602"/>
      <c r="AV10" s="2602"/>
      <c r="AW10" s="2602"/>
      <c r="AX10" s="2602"/>
      <c r="AY10" s="2602"/>
      <c r="AZ10" s="2602"/>
    </row>
    <row r="11" spans="1:56" ht="28.5" customHeight="1">
      <c r="A11" s="2599"/>
      <c r="B11" s="2599"/>
      <c r="C11" s="2599"/>
      <c r="D11" s="2599"/>
      <c r="E11" s="2599"/>
      <c r="F11" s="2599"/>
      <c r="G11" s="2599"/>
      <c r="H11" s="2599"/>
      <c r="I11" s="2599"/>
      <c r="J11" s="2599"/>
      <c r="K11" s="2599"/>
      <c r="L11" s="2599"/>
      <c r="M11" s="2599" t="s">
        <v>163</v>
      </c>
      <c r="N11" s="2599"/>
      <c r="O11" s="2599"/>
      <c r="P11" s="2750" t="str">
        <f>CONCATENATE('01 使用承認申請書'!D4)</f>
        <v/>
      </c>
      <c r="Q11" s="2751"/>
      <c r="R11" s="2751"/>
      <c r="S11" s="2751"/>
      <c r="T11" s="2751"/>
      <c r="U11" s="2751"/>
      <c r="V11" s="2751"/>
      <c r="W11" s="2751"/>
      <c r="X11" s="2751"/>
      <c r="Y11" s="2751"/>
      <c r="Z11" s="2751"/>
      <c r="AA11" s="2599"/>
      <c r="AB11" s="2599"/>
      <c r="AC11" s="2599"/>
      <c r="AD11" s="2599"/>
      <c r="AE11" s="2599"/>
      <c r="AF11" s="2599"/>
      <c r="AG11" s="2599"/>
      <c r="AH11" s="2599"/>
      <c r="AI11" s="2599"/>
      <c r="AJ11" s="2599"/>
      <c r="AK11" s="2599"/>
      <c r="AL11" s="2599"/>
      <c r="AM11" s="2599" t="s">
        <v>163</v>
      </c>
      <c r="AN11" s="2599"/>
      <c r="AO11" s="2599"/>
      <c r="AP11" s="2613" t="s">
        <v>280</v>
      </c>
      <c r="AQ11" s="2614"/>
      <c r="AR11" s="2614"/>
      <c r="AS11" s="2614"/>
      <c r="AT11" s="2614"/>
      <c r="AU11" s="2614"/>
      <c r="AV11" s="2614"/>
      <c r="AW11" s="2614"/>
      <c r="AX11" s="2614"/>
      <c r="AY11" s="2614"/>
      <c r="AZ11" s="2614"/>
    </row>
    <row r="12" spans="1:56" ht="28.5" customHeight="1">
      <c r="A12" s="2599"/>
      <c r="B12" s="2599"/>
      <c r="C12" s="2599"/>
      <c r="D12" s="2599"/>
      <c r="E12" s="2599"/>
      <c r="F12" s="2599"/>
      <c r="G12" s="2599"/>
      <c r="H12" s="2599"/>
      <c r="I12" s="2599"/>
      <c r="J12" s="2599"/>
      <c r="K12" s="2599"/>
      <c r="L12" s="2599"/>
      <c r="M12" s="2599" t="s">
        <v>267</v>
      </c>
      <c r="N12" s="2599"/>
      <c r="O12" s="2599"/>
      <c r="P12" s="2750" t="str">
        <f>CONCATENATE('01 使用承認申請書'!S6)</f>
        <v/>
      </c>
      <c r="Q12" s="2750"/>
      <c r="R12" s="2750"/>
      <c r="S12" s="2750"/>
      <c r="T12" s="2750"/>
      <c r="U12" s="2750"/>
      <c r="V12" s="2750"/>
      <c r="W12" s="2750"/>
      <c r="X12" s="2750"/>
      <c r="Y12" s="705" t="s">
        <v>281</v>
      </c>
      <c r="Z12" s="706"/>
      <c r="AA12" s="2599"/>
      <c r="AB12" s="2599"/>
      <c r="AC12" s="2599"/>
      <c r="AD12" s="2599"/>
      <c r="AE12" s="2599"/>
      <c r="AF12" s="2599"/>
      <c r="AG12" s="2599"/>
      <c r="AH12" s="2599"/>
      <c r="AI12" s="2599"/>
      <c r="AJ12" s="2599"/>
      <c r="AK12" s="2599"/>
      <c r="AL12" s="2599"/>
      <c r="AM12" s="2599" t="s">
        <v>267</v>
      </c>
      <c r="AN12" s="2599"/>
      <c r="AO12" s="2599"/>
      <c r="AP12" s="2613" t="s">
        <v>164</v>
      </c>
      <c r="AQ12" s="2613"/>
      <c r="AR12" s="2613"/>
      <c r="AS12" s="2613"/>
      <c r="AT12" s="2613"/>
      <c r="AU12" s="2613"/>
      <c r="AV12" s="2613"/>
      <c r="AW12" s="2613"/>
      <c r="AX12" s="2613"/>
      <c r="AY12" s="656" t="s">
        <v>282</v>
      </c>
      <c r="AZ12" s="703"/>
      <c r="BA12" s="40"/>
    </row>
    <row r="13" spans="1:56" ht="28.5" customHeight="1">
      <c r="A13" s="2599"/>
      <c r="B13" s="2599"/>
      <c r="C13" s="2599"/>
      <c r="D13" s="2599"/>
      <c r="E13" s="2599"/>
      <c r="F13" s="2599"/>
      <c r="G13" s="2599"/>
      <c r="H13" s="2599"/>
      <c r="I13" s="2599"/>
      <c r="J13" s="2599"/>
      <c r="K13" s="2599"/>
      <c r="L13" s="2599"/>
      <c r="M13" s="2599" t="s">
        <v>268</v>
      </c>
      <c r="N13" s="2599"/>
      <c r="O13" s="2599"/>
      <c r="P13" s="2750" t="str">
        <f>'01 使用承認申請書'!$E$8&amp;'01 使用承認申請書'!$R$8</f>
        <v/>
      </c>
      <c r="Q13" s="2750"/>
      <c r="R13" s="2750"/>
      <c r="S13" s="2750"/>
      <c r="T13" s="2750"/>
      <c r="U13" s="2750"/>
      <c r="V13" s="2750"/>
      <c r="W13" s="2750"/>
      <c r="X13" s="2750"/>
      <c r="Y13" s="2750"/>
      <c r="Z13" s="2750"/>
      <c r="AA13" s="2599"/>
      <c r="AB13" s="2599"/>
      <c r="AC13" s="2599"/>
      <c r="AD13" s="2599"/>
      <c r="AE13" s="2599"/>
      <c r="AF13" s="2599"/>
      <c r="AG13" s="2599"/>
      <c r="AH13" s="2599"/>
      <c r="AI13" s="2599"/>
      <c r="AJ13" s="2599"/>
      <c r="AK13" s="2599"/>
      <c r="AL13" s="2599"/>
      <c r="AM13" s="2599" t="s">
        <v>268</v>
      </c>
      <c r="AN13" s="2599"/>
      <c r="AO13" s="2599"/>
      <c r="AP13" s="2613" t="s">
        <v>63</v>
      </c>
      <c r="AQ13" s="2613"/>
      <c r="AR13" s="2613"/>
      <c r="AS13" s="2613"/>
      <c r="AT13" s="2613"/>
      <c r="AU13" s="2613"/>
      <c r="AV13" s="2613"/>
      <c r="AW13" s="2613"/>
      <c r="AX13" s="2613"/>
      <c r="AY13" s="2613"/>
      <c r="AZ13" s="2613"/>
      <c r="BA13" s="79">
        <v>1</v>
      </c>
      <c r="BB13" s="79" t="s">
        <v>404</v>
      </c>
      <c r="BC13" s="79" t="s">
        <v>1829</v>
      </c>
    </row>
    <row r="14" spans="1:56" ht="28.5" customHeight="1">
      <c r="A14" s="2599"/>
      <c r="B14" s="2599"/>
      <c r="C14" s="2599"/>
      <c r="D14" s="2599"/>
      <c r="E14" s="2599"/>
      <c r="F14" s="2599"/>
      <c r="G14" s="2599"/>
      <c r="H14" s="2599"/>
      <c r="I14" s="2599"/>
      <c r="J14" s="2599"/>
      <c r="K14" s="2599"/>
      <c r="L14" s="2599"/>
      <c r="M14" s="2599" t="s">
        <v>269</v>
      </c>
      <c r="N14" s="2599"/>
      <c r="O14" s="2599"/>
      <c r="P14" s="2749" t="str">
        <f>CONCATENATE('01 使用承認申請書'!D9)</f>
        <v/>
      </c>
      <c r="Q14" s="2749"/>
      <c r="R14" s="2749"/>
      <c r="S14" s="2749"/>
      <c r="T14" s="2749"/>
      <c r="U14" s="2749"/>
      <c r="V14" s="2749"/>
      <c r="W14" s="2749"/>
      <c r="X14" s="2749"/>
      <c r="Y14" s="2749"/>
      <c r="Z14" s="2749"/>
      <c r="AA14" s="2599"/>
      <c r="AB14" s="2599"/>
      <c r="AC14" s="2599"/>
      <c r="AD14" s="2599"/>
      <c r="AE14" s="2599"/>
      <c r="AF14" s="2599"/>
      <c r="AG14" s="2599"/>
      <c r="AH14" s="2599"/>
      <c r="AI14" s="2599"/>
      <c r="AJ14" s="2599"/>
      <c r="AK14" s="2599"/>
      <c r="AL14" s="2599"/>
      <c r="AM14" s="2599" t="s">
        <v>269</v>
      </c>
      <c r="AN14" s="2599"/>
      <c r="AO14" s="2599"/>
      <c r="AP14" s="2612" t="s">
        <v>2865</v>
      </c>
      <c r="AQ14" s="2612"/>
      <c r="AR14" s="2612"/>
      <c r="AS14" s="2612"/>
      <c r="AT14" s="2612"/>
      <c r="AU14" s="2612"/>
      <c r="AV14" s="2612"/>
      <c r="AW14" s="2612"/>
      <c r="AX14" s="2612"/>
      <c r="AY14" s="2612"/>
      <c r="AZ14" s="2612"/>
      <c r="BA14" s="79">
        <v>2</v>
      </c>
      <c r="BB14" s="79" t="s">
        <v>405</v>
      </c>
      <c r="BC14" s="79" t="s">
        <v>2941</v>
      </c>
    </row>
    <row r="15" spans="1:56" ht="14.25" customHeight="1">
      <c r="A15" s="2602"/>
      <c r="B15" s="2602"/>
      <c r="C15" s="2602"/>
      <c r="D15" s="2602"/>
      <c r="E15" s="2602"/>
      <c r="F15" s="2602"/>
      <c r="G15" s="2602"/>
      <c r="H15" s="2602"/>
      <c r="I15" s="2602"/>
      <c r="J15" s="2602"/>
      <c r="K15" s="2602"/>
      <c r="L15" s="2602"/>
      <c r="M15" s="2602"/>
      <c r="N15" s="2602"/>
      <c r="O15" s="2602"/>
      <c r="P15" s="2602"/>
      <c r="Q15" s="2602"/>
      <c r="R15" s="2602"/>
      <c r="S15" s="2602"/>
      <c r="T15" s="2602"/>
      <c r="U15" s="2602"/>
      <c r="V15" s="2602"/>
      <c r="W15" s="2602"/>
      <c r="X15" s="2602"/>
      <c r="Y15" s="2602"/>
      <c r="Z15" s="2602"/>
      <c r="AA15" s="2602"/>
      <c r="AB15" s="2602"/>
      <c r="AC15" s="2602"/>
      <c r="AD15" s="2602"/>
      <c r="AE15" s="2602"/>
      <c r="AF15" s="2602"/>
      <c r="AG15" s="2602"/>
      <c r="AH15" s="2602"/>
      <c r="AI15" s="2602"/>
      <c r="AJ15" s="2602"/>
      <c r="AK15" s="2602"/>
      <c r="AL15" s="2602"/>
      <c r="AM15" s="2602"/>
      <c r="AN15" s="2602"/>
      <c r="AO15" s="2602"/>
      <c r="AP15" s="2602"/>
      <c r="AQ15" s="2602"/>
      <c r="AR15" s="2602"/>
      <c r="AS15" s="2602"/>
      <c r="AT15" s="2602"/>
      <c r="AU15" s="2602"/>
      <c r="AV15" s="2602"/>
      <c r="AW15" s="2602"/>
      <c r="AX15" s="2602"/>
      <c r="AY15" s="2602"/>
      <c r="AZ15" s="2602"/>
      <c r="BA15" s="79">
        <v>3</v>
      </c>
      <c r="BB15" s="79" t="s">
        <v>512</v>
      </c>
      <c r="BC15" s="79" t="s">
        <v>2940</v>
      </c>
    </row>
    <row r="16" spans="1:56" ht="14.25" customHeight="1">
      <c r="A16" s="2599"/>
      <c r="B16" s="2599"/>
      <c r="C16" s="2599"/>
      <c r="D16" s="2599"/>
      <c r="E16" s="2599"/>
      <c r="F16" s="2599"/>
      <c r="G16" s="2599"/>
      <c r="H16" s="2599"/>
      <c r="I16" s="2599"/>
      <c r="J16" s="2599"/>
      <c r="K16" s="2599"/>
      <c r="L16" s="2599"/>
      <c r="M16" s="2599"/>
      <c r="N16" s="2599"/>
      <c r="O16" s="2599"/>
      <c r="P16" s="2599"/>
      <c r="Q16" s="2599"/>
      <c r="R16" s="2599"/>
      <c r="S16" s="2599"/>
      <c r="T16" s="2599"/>
      <c r="U16" s="2599"/>
      <c r="V16" s="2599"/>
      <c r="W16" s="2599"/>
      <c r="X16" s="2599"/>
      <c r="Y16" s="2599"/>
      <c r="Z16" s="2599"/>
      <c r="AA16" s="2599"/>
      <c r="AB16" s="2599"/>
      <c r="AC16" s="2599"/>
      <c r="AD16" s="2599"/>
      <c r="AE16" s="2599"/>
      <c r="AF16" s="2599"/>
      <c r="AG16" s="2599"/>
      <c r="AH16" s="2599"/>
      <c r="AI16" s="2599"/>
      <c r="AJ16" s="2599"/>
      <c r="AK16" s="2599"/>
      <c r="AL16" s="2599"/>
      <c r="AM16" s="2599"/>
      <c r="AN16" s="2599"/>
      <c r="AO16" s="2599"/>
      <c r="AP16" s="2599"/>
      <c r="AQ16" s="2599"/>
      <c r="AR16" s="2599"/>
      <c r="AS16" s="2599"/>
      <c r="AT16" s="2599"/>
      <c r="AU16" s="2599"/>
      <c r="AV16" s="2599"/>
      <c r="AW16" s="2599"/>
      <c r="AX16" s="2599"/>
      <c r="AY16" s="2599"/>
      <c r="AZ16" s="2599"/>
      <c r="BA16" s="79">
        <v>4</v>
      </c>
      <c r="BB16" s="79" t="s">
        <v>406</v>
      </c>
      <c r="BC16" s="79"/>
      <c r="BD16" s="77"/>
    </row>
    <row r="17" spans="1:56" ht="28.5" customHeight="1">
      <c r="A17" s="2599" t="s">
        <v>263</v>
      </c>
      <c r="B17" s="2599"/>
      <c r="C17" s="2599"/>
      <c r="D17" s="2599"/>
      <c r="E17" s="2599"/>
      <c r="F17" s="2599"/>
      <c r="G17" s="2748" t="s">
        <v>2869</v>
      </c>
      <c r="H17" s="2748"/>
      <c r="I17" s="2748"/>
      <c r="J17" s="2748"/>
      <c r="K17" s="2748"/>
      <c r="L17" s="2602" t="s">
        <v>2868</v>
      </c>
      <c r="M17" s="2602"/>
      <c r="N17" s="2602"/>
      <c r="O17" s="2602"/>
      <c r="P17" s="2602"/>
      <c r="Q17" s="2602"/>
      <c r="R17" s="2602"/>
      <c r="S17" s="2602"/>
      <c r="T17" s="2602"/>
      <c r="U17" s="2602"/>
      <c r="V17" s="2602"/>
      <c r="W17" s="2602"/>
      <c r="X17" s="2602"/>
      <c r="Y17" s="2602"/>
      <c r="Z17" s="700" t="b">
        <v>0</v>
      </c>
      <c r="AA17" s="2599" t="s">
        <v>263</v>
      </c>
      <c r="AB17" s="2599"/>
      <c r="AC17" s="2599"/>
      <c r="AD17" s="2599"/>
      <c r="AE17" s="2599"/>
      <c r="AF17" s="2599"/>
      <c r="AG17" s="704" t="s">
        <v>2938</v>
      </c>
      <c r="AH17" s="2747" t="s">
        <v>283</v>
      </c>
      <c r="AI17" s="2747"/>
      <c r="AJ17" s="2747"/>
      <c r="AK17" s="631"/>
      <c r="AL17" s="2602" t="s">
        <v>284</v>
      </c>
      <c r="AM17" s="2602"/>
      <c r="AN17" s="2602"/>
      <c r="AO17" s="2602"/>
      <c r="AP17" s="2602"/>
      <c r="AQ17" s="2602"/>
      <c r="AR17" s="2602"/>
      <c r="AS17" s="2602"/>
      <c r="AT17" s="2602"/>
      <c r="AU17" s="2602"/>
      <c r="AV17" s="2602"/>
      <c r="AW17" s="2602"/>
      <c r="AX17" s="2602"/>
      <c r="AY17" s="2602"/>
      <c r="AZ17" s="631"/>
      <c r="BA17" s="79">
        <v>5</v>
      </c>
      <c r="BB17" s="79" t="s">
        <v>456</v>
      </c>
      <c r="BC17" s="79"/>
      <c r="BD17" s="77"/>
    </row>
    <row r="18" spans="1:56" ht="28.5" customHeight="1">
      <c r="A18" s="2599"/>
      <c r="B18" s="2599"/>
      <c r="C18" s="2599"/>
      <c r="D18" s="2599"/>
      <c r="E18" s="2599"/>
      <c r="F18" s="2599"/>
      <c r="G18" s="2748" t="s">
        <v>285</v>
      </c>
      <c r="H18" s="2748"/>
      <c r="I18" s="2748"/>
      <c r="J18" s="2748"/>
      <c r="K18" s="2748"/>
      <c r="L18" s="2602"/>
      <c r="M18" s="2602"/>
      <c r="N18" s="2602"/>
      <c r="O18" s="2602"/>
      <c r="P18" s="2602"/>
      <c r="Q18" s="2602"/>
      <c r="R18" s="2602"/>
      <c r="S18" s="2602"/>
      <c r="T18" s="2602"/>
      <c r="U18" s="2602"/>
      <c r="V18" s="2602"/>
      <c r="W18" s="2602"/>
      <c r="X18" s="2602"/>
      <c r="Y18" s="2602"/>
      <c r="Z18" s="700" t="b">
        <v>0</v>
      </c>
      <c r="AA18" s="2599"/>
      <c r="AB18" s="2599"/>
      <c r="AC18" s="2599"/>
      <c r="AD18" s="2599"/>
      <c r="AE18" s="2599"/>
      <c r="AF18" s="2599"/>
      <c r="AG18" s="631" t="s">
        <v>2939</v>
      </c>
      <c r="AH18" s="2599" t="s">
        <v>285</v>
      </c>
      <c r="AI18" s="2599"/>
      <c r="AJ18" s="2599"/>
      <c r="AK18" s="631"/>
      <c r="AL18" s="2602"/>
      <c r="AM18" s="2602"/>
      <c r="AN18" s="2602"/>
      <c r="AO18" s="2602"/>
      <c r="AP18" s="2602"/>
      <c r="AQ18" s="2602"/>
      <c r="AR18" s="2602"/>
      <c r="AS18" s="2602"/>
      <c r="AT18" s="2602"/>
      <c r="AU18" s="2602"/>
      <c r="AV18" s="2602"/>
      <c r="AW18" s="2602"/>
      <c r="AX18" s="2602"/>
      <c r="AY18" s="2602"/>
      <c r="AZ18" s="631"/>
      <c r="BA18" s="79">
        <v>6</v>
      </c>
      <c r="BB18" s="79" t="s">
        <v>513</v>
      </c>
      <c r="BC18" s="79"/>
      <c r="BD18" s="77"/>
    </row>
    <row r="19" spans="1:56" ht="14.25" customHeight="1">
      <c r="A19" s="638"/>
      <c r="B19" s="638"/>
      <c r="C19" s="638"/>
      <c r="D19" s="638"/>
      <c r="E19" s="638"/>
      <c r="F19" s="638"/>
      <c r="G19" s="631"/>
      <c r="H19" s="638"/>
      <c r="I19" s="638"/>
      <c r="J19" s="638"/>
      <c r="K19" s="631"/>
      <c r="L19" s="701"/>
      <c r="M19" s="701"/>
      <c r="N19" s="701"/>
      <c r="O19" s="701"/>
      <c r="P19" s="701"/>
      <c r="Q19" s="701"/>
      <c r="R19" s="701"/>
      <c r="S19" s="701"/>
      <c r="T19" s="701"/>
      <c r="U19" s="701"/>
      <c r="V19" s="701"/>
      <c r="W19" s="701"/>
      <c r="X19" s="701"/>
      <c r="Y19" s="701"/>
      <c r="Z19" s="631"/>
      <c r="AA19" s="638"/>
      <c r="AB19" s="638"/>
      <c r="AC19" s="638"/>
      <c r="AD19" s="638"/>
      <c r="AE19" s="638"/>
      <c r="AF19" s="638"/>
      <c r="AG19" s="631"/>
      <c r="AH19" s="638"/>
      <c r="AI19" s="638"/>
      <c r="AJ19" s="638"/>
      <c r="AK19" s="631"/>
      <c r="AL19" s="701"/>
      <c r="AM19" s="701"/>
      <c r="AN19" s="701"/>
      <c r="AO19" s="701"/>
      <c r="AP19" s="701"/>
      <c r="AQ19" s="701"/>
      <c r="AR19" s="701"/>
      <c r="AS19" s="701"/>
      <c r="AT19" s="701"/>
      <c r="AU19" s="701"/>
      <c r="AV19" s="701"/>
      <c r="AW19" s="701"/>
      <c r="AX19" s="701"/>
      <c r="AY19" s="701"/>
      <c r="AZ19" s="631"/>
      <c r="BA19" s="79">
        <v>7</v>
      </c>
      <c r="BB19" s="79" t="s">
        <v>507</v>
      </c>
      <c r="BC19" s="79"/>
      <c r="BD19" s="77"/>
    </row>
    <row r="20" spans="1:56" ht="14.25" customHeight="1">
      <c r="A20" s="2599" t="s">
        <v>161</v>
      </c>
      <c r="B20" s="2599"/>
      <c r="C20" s="2599"/>
      <c r="D20" s="2599"/>
      <c r="E20" s="2599"/>
      <c r="F20" s="2599"/>
      <c r="G20" s="2599"/>
      <c r="H20" s="2599"/>
      <c r="I20" s="2599"/>
      <c r="J20" s="2599"/>
      <c r="K20" s="2599"/>
      <c r="L20" s="2599"/>
      <c r="M20" s="2599"/>
      <c r="N20" s="2599"/>
      <c r="O20" s="2599"/>
      <c r="P20" s="2599"/>
      <c r="Q20" s="2599"/>
      <c r="R20" s="2599"/>
      <c r="S20" s="2599"/>
      <c r="T20" s="2599"/>
      <c r="U20" s="2599"/>
      <c r="V20" s="2599"/>
      <c r="W20" s="2599"/>
      <c r="X20" s="2599"/>
      <c r="Y20" s="2599"/>
      <c r="Z20" s="2599"/>
      <c r="AA20" s="2599" t="s">
        <v>161</v>
      </c>
      <c r="AB20" s="2599"/>
      <c r="AC20" s="2599"/>
      <c r="AD20" s="2599"/>
      <c r="AE20" s="2599"/>
      <c r="AF20" s="2599"/>
      <c r="AG20" s="2599"/>
      <c r="AH20" s="2599"/>
      <c r="AI20" s="2599"/>
      <c r="AJ20" s="2599"/>
      <c r="AK20" s="2599"/>
      <c r="AL20" s="2599"/>
      <c r="AM20" s="2599"/>
      <c r="AN20" s="2599"/>
      <c r="AO20" s="2599"/>
      <c r="AP20" s="2599"/>
      <c r="AQ20" s="2599"/>
      <c r="AR20" s="2599"/>
      <c r="AS20" s="2599"/>
      <c r="AT20" s="2599"/>
      <c r="AU20" s="2599"/>
      <c r="AV20" s="2599"/>
      <c r="AW20" s="2599"/>
      <c r="AX20" s="2599"/>
      <c r="AY20" s="2599"/>
      <c r="AZ20" s="2599"/>
      <c r="BA20" s="79">
        <v>8</v>
      </c>
      <c r="BB20" s="79"/>
      <c r="BC20" s="79"/>
      <c r="BD20" s="77"/>
    </row>
    <row r="21" spans="1:56" ht="14.25" customHeight="1">
      <c r="A21" s="638"/>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79">
        <v>9</v>
      </c>
      <c r="BB21" s="79"/>
      <c r="BC21" s="79"/>
      <c r="BD21" s="77"/>
    </row>
    <row r="22" spans="1:56" ht="28.5" customHeight="1">
      <c r="A22" s="2602" t="s">
        <v>286</v>
      </c>
      <c r="B22" s="2602"/>
      <c r="C22" s="2602"/>
      <c r="D22" s="2602"/>
      <c r="E22" s="2602"/>
      <c r="F22" s="2602"/>
      <c r="G22" s="2602"/>
      <c r="H22" s="2602"/>
      <c r="I22" s="2602"/>
      <c r="J22" s="2602"/>
      <c r="K22" s="2602"/>
      <c r="L22" s="2602"/>
      <c r="M22" s="2602"/>
      <c r="N22" s="2602"/>
      <c r="O22" s="2602"/>
      <c r="P22" s="2602"/>
      <c r="Q22" s="2602"/>
      <c r="R22" s="2602"/>
      <c r="S22" s="2602"/>
      <c r="T22" s="2602"/>
      <c r="U22" s="2602"/>
      <c r="V22" s="2602"/>
      <c r="W22" s="2602"/>
      <c r="X22" s="2602"/>
      <c r="Y22" s="2602"/>
      <c r="Z22" s="2602"/>
      <c r="AA22" s="2602" t="s">
        <v>286</v>
      </c>
      <c r="AB22" s="2602"/>
      <c r="AC22" s="2602"/>
      <c r="AD22" s="2602"/>
      <c r="AE22" s="2602"/>
      <c r="AF22" s="2602"/>
      <c r="AG22" s="2602"/>
      <c r="AH22" s="2602"/>
      <c r="AI22" s="2602"/>
      <c r="AJ22" s="2602"/>
      <c r="AK22" s="2602"/>
      <c r="AL22" s="2602"/>
      <c r="AM22" s="2602"/>
      <c r="AN22" s="2602"/>
      <c r="AO22" s="2602"/>
      <c r="AP22" s="2602"/>
      <c r="AQ22" s="2602"/>
      <c r="AR22" s="2602"/>
      <c r="AS22" s="2602"/>
      <c r="AT22" s="2602"/>
      <c r="AU22" s="2602"/>
      <c r="AV22" s="2602"/>
      <c r="AW22" s="2602"/>
      <c r="AX22" s="2602"/>
      <c r="AY22" s="2602"/>
      <c r="AZ22" s="2602"/>
      <c r="BA22" s="79">
        <v>10</v>
      </c>
      <c r="BB22" s="79"/>
      <c r="BC22" s="79"/>
      <c r="BD22" s="77"/>
    </row>
    <row r="23" spans="1:56" ht="28.5" customHeight="1">
      <c r="A23" s="2746"/>
      <c r="B23" s="2746"/>
      <c r="C23" s="2746"/>
      <c r="D23" s="2746"/>
      <c r="E23" s="638" t="s">
        <v>18</v>
      </c>
      <c r="F23" s="702"/>
      <c r="G23" s="638" t="s">
        <v>17</v>
      </c>
      <c r="H23" s="702"/>
      <c r="I23" s="638" t="s">
        <v>162</v>
      </c>
      <c r="J23" s="638" t="s">
        <v>47</v>
      </c>
      <c r="K23" s="702"/>
      <c r="L23" s="638" t="s">
        <v>59</v>
      </c>
      <c r="M23" s="638" t="s">
        <v>287</v>
      </c>
      <c r="N23" s="702"/>
      <c r="O23" s="638" t="s">
        <v>17</v>
      </c>
      <c r="P23" s="702"/>
      <c r="Q23" s="638" t="s">
        <v>162</v>
      </c>
      <c r="R23" s="638" t="s">
        <v>93</v>
      </c>
      <c r="S23" s="702"/>
      <c r="T23" s="638" t="s">
        <v>59</v>
      </c>
      <c r="U23" s="638"/>
      <c r="V23" s="638"/>
      <c r="W23" s="638"/>
      <c r="X23" s="638"/>
      <c r="Y23" s="2599"/>
      <c r="Z23" s="2599"/>
      <c r="AA23" s="2745" t="s">
        <v>2925</v>
      </c>
      <c r="AB23" s="2745"/>
      <c r="AC23" s="2745"/>
      <c r="AD23" s="2745"/>
      <c r="AE23" s="638" t="s">
        <v>18</v>
      </c>
      <c r="AF23" s="656" t="s">
        <v>279</v>
      </c>
      <c r="AG23" s="638" t="s">
        <v>17</v>
      </c>
      <c r="AH23" s="656" t="s">
        <v>2803</v>
      </c>
      <c r="AI23" s="638" t="s">
        <v>162</v>
      </c>
      <c r="AJ23" s="638" t="s">
        <v>288</v>
      </c>
      <c r="AK23" s="656" t="s">
        <v>2840</v>
      </c>
      <c r="AL23" s="638" t="s">
        <v>61</v>
      </c>
      <c r="AM23" s="638" t="s">
        <v>261</v>
      </c>
      <c r="AN23" s="656" t="s">
        <v>44</v>
      </c>
      <c r="AO23" s="638" t="s">
        <v>17</v>
      </c>
      <c r="AP23" s="656" t="s">
        <v>2866</v>
      </c>
      <c r="AQ23" s="638" t="s">
        <v>162</v>
      </c>
      <c r="AR23" s="638" t="s">
        <v>288</v>
      </c>
      <c r="AS23" s="656" t="s">
        <v>2841</v>
      </c>
      <c r="AT23" s="638" t="s">
        <v>61</v>
      </c>
      <c r="AU23" s="638"/>
      <c r="AV23" s="638"/>
      <c r="AW23" s="638"/>
      <c r="AX23" s="638"/>
      <c r="AY23" s="2599"/>
      <c r="AZ23" s="2599"/>
      <c r="BA23" s="79">
        <v>11</v>
      </c>
      <c r="BB23" s="79"/>
      <c r="BC23" s="79"/>
      <c r="BD23" s="77"/>
    </row>
    <row r="24" spans="1:56" ht="28.5" customHeight="1">
      <c r="A24" s="2602" t="s">
        <v>289</v>
      </c>
      <c r="B24" s="2602"/>
      <c r="C24" s="2602"/>
      <c r="D24" s="2602"/>
      <c r="E24" s="2602"/>
      <c r="F24" s="2602"/>
      <c r="G24" s="2602"/>
      <c r="H24" s="2602"/>
      <c r="I24" s="2602"/>
      <c r="J24" s="2602"/>
      <c r="K24" s="2602"/>
      <c r="L24" s="2602"/>
      <c r="M24" s="2602"/>
      <c r="N24" s="2602"/>
      <c r="O24" s="2602"/>
      <c r="P24" s="2602"/>
      <c r="Q24" s="2602"/>
      <c r="R24" s="2602"/>
      <c r="S24" s="2602"/>
      <c r="T24" s="2602"/>
      <c r="U24" s="2602"/>
      <c r="V24" s="2602"/>
      <c r="W24" s="2602"/>
      <c r="X24" s="2602"/>
      <c r="Y24" s="2602"/>
      <c r="Z24" s="2602"/>
      <c r="AA24" s="2602" t="s">
        <v>289</v>
      </c>
      <c r="AB24" s="2602"/>
      <c r="AC24" s="2602"/>
      <c r="AD24" s="2602"/>
      <c r="AE24" s="2602"/>
      <c r="AF24" s="2602"/>
      <c r="AG24" s="2602"/>
      <c r="AH24" s="2602"/>
      <c r="AI24" s="2602"/>
      <c r="AJ24" s="2602"/>
      <c r="AK24" s="2602"/>
      <c r="AL24" s="2602"/>
      <c r="AM24" s="2602"/>
      <c r="AN24" s="2602"/>
      <c r="AO24" s="2602"/>
      <c r="AP24" s="2602"/>
      <c r="AQ24" s="2602"/>
      <c r="AR24" s="2602"/>
      <c r="AS24" s="2602"/>
      <c r="AT24" s="2602"/>
      <c r="AU24" s="2602"/>
      <c r="AV24" s="2602"/>
      <c r="AW24" s="2602"/>
      <c r="AX24" s="2602"/>
      <c r="AY24" s="2602"/>
      <c r="AZ24" s="2602"/>
      <c r="BA24" s="79">
        <v>12</v>
      </c>
      <c r="BB24" s="79"/>
      <c r="BC24" s="79"/>
      <c r="BD24" s="77"/>
    </row>
    <row r="25" spans="1:56" ht="28.5" customHeight="1">
      <c r="A25" s="2746"/>
      <c r="B25" s="2746"/>
      <c r="C25" s="2746"/>
      <c r="D25" s="2746"/>
      <c r="E25" s="638" t="s">
        <v>18</v>
      </c>
      <c r="F25" s="702"/>
      <c r="G25" s="638" t="s">
        <v>17</v>
      </c>
      <c r="H25" s="702"/>
      <c r="I25" s="638" t="s">
        <v>162</v>
      </c>
      <c r="J25" s="638" t="s">
        <v>93</v>
      </c>
      <c r="K25" s="702"/>
      <c r="L25" s="638" t="s">
        <v>61</v>
      </c>
      <c r="M25" s="638" t="s">
        <v>287</v>
      </c>
      <c r="N25" s="702"/>
      <c r="O25" s="638" t="s">
        <v>17</v>
      </c>
      <c r="P25" s="702"/>
      <c r="Q25" s="638" t="s">
        <v>162</v>
      </c>
      <c r="R25" s="638" t="s">
        <v>288</v>
      </c>
      <c r="S25" s="702"/>
      <c r="T25" s="638" t="s">
        <v>46</v>
      </c>
      <c r="U25" s="638"/>
      <c r="V25" s="638"/>
      <c r="W25" s="638"/>
      <c r="X25" s="638"/>
      <c r="Y25" s="2599"/>
      <c r="Z25" s="2599"/>
      <c r="AA25" s="2745" t="s">
        <v>2925</v>
      </c>
      <c r="AB25" s="2745"/>
      <c r="AC25" s="2745"/>
      <c r="AD25" s="2745"/>
      <c r="AE25" s="638" t="s">
        <v>18</v>
      </c>
      <c r="AF25" s="656" t="s">
        <v>497</v>
      </c>
      <c r="AG25" s="638" t="s">
        <v>17</v>
      </c>
      <c r="AH25" s="656" t="s">
        <v>453</v>
      </c>
      <c r="AI25" s="638" t="s">
        <v>162</v>
      </c>
      <c r="AJ25" s="638" t="s">
        <v>47</v>
      </c>
      <c r="AK25" s="656" t="s">
        <v>500</v>
      </c>
      <c r="AL25" s="638" t="s">
        <v>290</v>
      </c>
      <c r="AM25" s="638" t="s">
        <v>143</v>
      </c>
      <c r="AN25" s="656" t="s">
        <v>497</v>
      </c>
      <c r="AO25" s="638" t="s">
        <v>17</v>
      </c>
      <c r="AP25" s="656" t="s">
        <v>454</v>
      </c>
      <c r="AQ25" s="638" t="s">
        <v>162</v>
      </c>
      <c r="AR25" s="638" t="s">
        <v>93</v>
      </c>
      <c r="AS25" s="656" t="s">
        <v>501</v>
      </c>
      <c r="AT25" s="638" t="s">
        <v>290</v>
      </c>
      <c r="AU25" s="638"/>
      <c r="AV25" s="638"/>
      <c r="AW25" s="638"/>
      <c r="AX25" s="638"/>
      <c r="AY25" s="2599"/>
      <c r="AZ25" s="2599"/>
      <c r="BA25" s="79">
        <v>13</v>
      </c>
      <c r="BB25" s="79"/>
      <c r="BC25" s="79"/>
    </row>
    <row r="26" spans="1:56" ht="28.5" customHeight="1">
      <c r="A26" s="2602" t="s">
        <v>291</v>
      </c>
      <c r="B26" s="2602"/>
      <c r="C26" s="2602"/>
      <c r="D26" s="2602"/>
      <c r="E26" s="2602"/>
      <c r="F26" s="2602"/>
      <c r="G26" s="2602"/>
      <c r="H26" s="2602"/>
      <c r="I26" s="2602"/>
      <c r="J26" s="2602"/>
      <c r="K26" s="2602"/>
      <c r="L26" s="2602"/>
      <c r="M26" s="2602"/>
      <c r="N26" s="2602"/>
      <c r="O26" s="2602"/>
      <c r="P26" s="2602"/>
      <c r="Q26" s="2602"/>
      <c r="R26" s="2602"/>
      <c r="S26" s="2602"/>
      <c r="T26" s="2602"/>
      <c r="U26" s="2602"/>
      <c r="V26" s="2602"/>
      <c r="W26" s="2602"/>
      <c r="X26" s="2602"/>
      <c r="Y26" s="2602"/>
      <c r="Z26" s="2602"/>
      <c r="AA26" s="2602" t="s">
        <v>291</v>
      </c>
      <c r="AB26" s="2602"/>
      <c r="AC26" s="2602"/>
      <c r="AD26" s="2602"/>
      <c r="AE26" s="2602"/>
      <c r="AF26" s="2602"/>
      <c r="AG26" s="2602"/>
      <c r="AH26" s="2602"/>
      <c r="AI26" s="2602"/>
      <c r="AJ26" s="2602"/>
      <c r="AK26" s="2602"/>
      <c r="AL26" s="2602"/>
      <c r="AM26" s="2602"/>
      <c r="AN26" s="2602"/>
      <c r="AO26" s="2602"/>
      <c r="AP26" s="2602"/>
      <c r="AQ26" s="2602"/>
      <c r="AR26" s="2602"/>
      <c r="AS26" s="2602"/>
      <c r="AT26" s="2602"/>
      <c r="AU26" s="2602"/>
      <c r="AV26" s="2602"/>
      <c r="AW26" s="2602"/>
      <c r="AX26" s="2602"/>
      <c r="AY26" s="2602"/>
      <c r="AZ26" s="2602"/>
      <c r="BA26" s="79">
        <v>14</v>
      </c>
      <c r="BB26" s="79"/>
      <c r="BC26" s="79"/>
    </row>
    <row r="27" spans="1:56" ht="28.5" customHeight="1">
      <c r="A27" s="2744"/>
      <c r="B27" s="2744"/>
      <c r="C27" s="2744"/>
      <c r="D27" s="2744"/>
      <c r="E27" s="638" t="s">
        <v>37</v>
      </c>
      <c r="F27" s="2599"/>
      <c r="G27" s="2599"/>
      <c r="H27" s="2599"/>
      <c r="I27" s="2599"/>
      <c r="J27" s="2599"/>
      <c r="K27" s="2599"/>
      <c r="L27" s="2599"/>
      <c r="M27" s="2599"/>
      <c r="N27" s="2599"/>
      <c r="O27" s="2599"/>
      <c r="P27" s="2599"/>
      <c r="Q27" s="2599"/>
      <c r="R27" s="2599"/>
      <c r="S27" s="2599"/>
      <c r="T27" s="2599"/>
      <c r="U27" s="2599"/>
      <c r="V27" s="2599"/>
      <c r="W27" s="2599"/>
      <c r="X27" s="2599"/>
      <c r="Y27" s="2599"/>
      <c r="Z27" s="2599"/>
      <c r="AA27" s="2745" t="s">
        <v>455</v>
      </c>
      <c r="AB27" s="2745"/>
      <c r="AC27" s="2745"/>
      <c r="AD27" s="2745"/>
      <c r="AE27" s="638" t="s">
        <v>37</v>
      </c>
      <c r="AF27" s="2599"/>
      <c r="AG27" s="2599"/>
      <c r="AH27" s="2599"/>
      <c r="AI27" s="2599"/>
      <c r="AJ27" s="2599"/>
      <c r="AK27" s="2599"/>
      <c r="AL27" s="2599"/>
      <c r="AM27" s="2599"/>
      <c r="AN27" s="2599"/>
      <c r="AO27" s="2599"/>
      <c r="AP27" s="2599"/>
      <c r="AQ27" s="2599"/>
      <c r="AR27" s="2599"/>
      <c r="AS27" s="2599"/>
      <c r="AT27" s="2599"/>
      <c r="AU27" s="2599"/>
      <c r="AV27" s="2599"/>
      <c r="AW27" s="2599"/>
      <c r="AX27" s="2599"/>
      <c r="AY27" s="2599"/>
      <c r="AZ27" s="2599"/>
      <c r="BA27" s="79">
        <v>15</v>
      </c>
      <c r="BB27" s="79"/>
      <c r="BC27" s="79"/>
    </row>
    <row r="28" spans="1:56" ht="28.5" customHeight="1">
      <c r="A28" s="2602" t="s">
        <v>292</v>
      </c>
      <c r="B28" s="2602"/>
      <c r="C28" s="2602"/>
      <c r="D28" s="2602"/>
      <c r="E28" s="2602"/>
      <c r="F28" s="2602"/>
      <c r="G28" s="2602"/>
      <c r="H28" s="2602"/>
      <c r="I28" s="2602"/>
      <c r="J28" s="2602"/>
      <c r="K28" s="2602"/>
      <c r="L28" s="2602"/>
      <c r="M28" s="2602"/>
      <c r="N28" s="2602"/>
      <c r="O28" s="2602"/>
      <c r="P28" s="2602"/>
      <c r="Q28" s="2602"/>
      <c r="R28" s="2602"/>
      <c r="S28" s="2602"/>
      <c r="T28" s="2602"/>
      <c r="U28" s="2602"/>
      <c r="V28" s="2602"/>
      <c r="W28" s="2602"/>
      <c r="X28" s="2602"/>
      <c r="Y28" s="2602"/>
      <c r="Z28" s="2602"/>
      <c r="AA28" s="2602" t="s">
        <v>292</v>
      </c>
      <c r="AB28" s="2602"/>
      <c r="AC28" s="2602"/>
      <c r="AD28" s="2602"/>
      <c r="AE28" s="2602"/>
      <c r="AF28" s="2602"/>
      <c r="AG28" s="2602"/>
      <c r="AH28" s="2602"/>
      <c r="AI28" s="2602"/>
      <c r="AJ28" s="2602"/>
      <c r="AK28" s="2602"/>
      <c r="AL28" s="2602"/>
      <c r="AM28" s="2602"/>
      <c r="AN28" s="2602"/>
      <c r="AO28" s="2602"/>
      <c r="AP28" s="2602"/>
      <c r="AQ28" s="2602"/>
      <c r="AR28" s="2602"/>
      <c r="AS28" s="2602"/>
      <c r="AT28" s="2602"/>
      <c r="AU28" s="2602"/>
      <c r="AV28" s="2602"/>
      <c r="AW28" s="2602"/>
      <c r="AX28" s="2602"/>
      <c r="AY28" s="2602"/>
      <c r="AZ28" s="2602"/>
      <c r="BA28" s="79">
        <v>16</v>
      </c>
      <c r="BB28" s="79"/>
      <c r="BC28" s="79"/>
    </row>
    <row r="29" spans="1:56" ht="159.94999999999999" customHeight="1">
      <c r="A29" s="2742"/>
      <c r="B29" s="2742"/>
      <c r="C29" s="2742"/>
      <c r="D29" s="2742"/>
      <c r="E29" s="2742"/>
      <c r="F29" s="2742"/>
      <c r="G29" s="2742"/>
      <c r="H29" s="2742"/>
      <c r="I29" s="2742"/>
      <c r="J29" s="2742"/>
      <c r="K29" s="2742"/>
      <c r="L29" s="2742"/>
      <c r="M29" s="2742"/>
      <c r="N29" s="2742"/>
      <c r="O29" s="2742"/>
      <c r="P29" s="2742"/>
      <c r="Q29" s="2742"/>
      <c r="R29" s="2742"/>
      <c r="S29" s="2742"/>
      <c r="T29" s="2742"/>
      <c r="U29" s="2742"/>
      <c r="V29" s="2742"/>
      <c r="W29" s="2742"/>
      <c r="X29" s="2742"/>
      <c r="Y29" s="2742"/>
      <c r="Z29" s="2742"/>
      <c r="AA29" s="2743" t="s">
        <v>293</v>
      </c>
      <c r="AB29" s="2743"/>
      <c r="AC29" s="2743"/>
      <c r="AD29" s="2743"/>
      <c r="AE29" s="2743"/>
      <c r="AF29" s="2743"/>
      <c r="AG29" s="2743"/>
      <c r="AH29" s="2743"/>
      <c r="AI29" s="2743"/>
      <c r="AJ29" s="2743"/>
      <c r="AK29" s="2743"/>
      <c r="AL29" s="2743"/>
      <c r="AM29" s="2743"/>
      <c r="AN29" s="2743"/>
      <c r="AO29" s="2743"/>
      <c r="AP29" s="2743"/>
      <c r="AQ29" s="2743"/>
      <c r="AR29" s="2743"/>
      <c r="AS29" s="2743"/>
      <c r="AT29" s="2743"/>
      <c r="AU29" s="2743"/>
      <c r="AV29" s="2743"/>
      <c r="AW29" s="2743"/>
      <c r="AX29" s="2743"/>
      <c r="AY29" s="2743"/>
      <c r="AZ29" s="2743"/>
      <c r="BA29" s="79">
        <v>17</v>
      </c>
      <c r="BB29" s="79"/>
      <c r="BC29" s="79"/>
    </row>
    <row r="30" spans="1:56" ht="14.25" customHeight="1">
      <c r="A30" s="47"/>
      <c r="B30" s="41"/>
      <c r="C30" s="41"/>
      <c r="D30" s="41"/>
      <c r="E30" s="41"/>
      <c r="F30" s="41"/>
      <c r="G30" s="41"/>
      <c r="H30" s="41"/>
      <c r="I30" s="41"/>
      <c r="J30" s="48"/>
      <c r="K30" s="48"/>
      <c r="L30" s="48"/>
      <c r="M30" s="48"/>
      <c r="N30" s="48"/>
      <c r="O30" s="48"/>
      <c r="P30" s="48"/>
      <c r="Q30" s="48"/>
      <c r="R30" s="48"/>
      <c r="S30" s="48"/>
      <c r="T30" s="48"/>
      <c r="U30" s="48"/>
      <c r="V30" s="48"/>
      <c r="W30" s="48"/>
      <c r="X30" s="48"/>
      <c r="Y30" s="48"/>
      <c r="Z30" s="48"/>
      <c r="AA30" s="47"/>
      <c r="AB30" s="41"/>
      <c r="AC30" s="41"/>
      <c r="AD30" s="41"/>
      <c r="AE30" s="41"/>
      <c r="AF30" s="41"/>
      <c r="AG30" s="41"/>
      <c r="AH30" s="41"/>
      <c r="AI30" s="41"/>
      <c r="AJ30" s="48"/>
      <c r="AK30" s="48"/>
      <c r="AL30" s="48"/>
      <c r="AM30" s="48"/>
      <c r="AN30" s="48"/>
      <c r="AO30" s="48"/>
      <c r="AP30" s="48"/>
      <c r="AQ30" s="48"/>
      <c r="AR30" s="48"/>
      <c r="AS30" s="48"/>
      <c r="AT30" s="48"/>
      <c r="AU30" s="48"/>
      <c r="AV30" s="48"/>
      <c r="AW30" s="48"/>
      <c r="AX30" s="48"/>
      <c r="AY30" s="48"/>
      <c r="AZ30" s="48"/>
      <c r="BA30" s="79">
        <v>18</v>
      </c>
      <c r="BB30" s="79"/>
      <c r="BC30" s="79"/>
    </row>
    <row r="31" spans="1:56" ht="14.25">
      <c r="A31" s="43"/>
      <c r="B31" s="43"/>
      <c r="C31" s="43"/>
      <c r="D31" s="43"/>
      <c r="E31" s="43"/>
      <c r="F31" s="43"/>
      <c r="G31" s="43"/>
      <c r="H31" s="43"/>
      <c r="I31" s="43"/>
      <c r="J31" s="44"/>
      <c r="K31" s="44"/>
      <c r="L31" s="44"/>
      <c r="M31" s="44"/>
      <c r="N31" s="44"/>
      <c r="O31" s="44"/>
      <c r="P31" s="44"/>
      <c r="Q31" s="44"/>
      <c r="R31" s="44"/>
      <c r="S31" s="44"/>
      <c r="T31" s="44"/>
      <c r="U31" s="44"/>
      <c r="V31" s="44"/>
      <c r="W31" s="44"/>
      <c r="X31" s="44"/>
      <c r="Y31" s="44"/>
      <c r="Z31" s="44"/>
      <c r="AA31" s="43"/>
      <c r="AB31" s="43"/>
      <c r="AC31" s="43"/>
      <c r="AD31" s="43"/>
      <c r="AE31" s="43"/>
      <c r="AF31" s="43"/>
      <c r="AG31" s="43"/>
      <c r="AH31" s="43"/>
      <c r="AI31" s="43"/>
      <c r="AJ31" s="44"/>
      <c r="AK31" s="44"/>
      <c r="AL31" s="44"/>
      <c r="AM31" s="44"/>
      <c r="AN31" s="44"/>
      <c r="AO31" s="44"/>
      <c r="AP31" s="44"/>
      <c r="AQ31" s="44"/>
      <c r="AR31" s="44"/>
      <c r="AS31" s="44"/>
      <c r="AT31" s="44"/>
      <c r="AU31" s="44"/>
      <c r="AV31" s="44"/>
      <c r="AW31" s="44"/>
      <c r="AX31" s="44"/>
      <c r="AY31" s="44"/>
      <c r="AZ31" s="44"/>
      <c r="BA31" s="79">
        <v>19</v>
      </c>
      <c r="BB31" s="79"/>
      <c r="BC31" s="79"/>
    </row>
    <row r="32" spans="1:56" ht="14.25">
      <c r="A32" s="43"/>
      <c r="B32" s="43"/>
      <c r="C32" s="43"/>
      <c r="D32" s="43"/>
      <c r="E32" s="43"/>
      <c r="F32" s="43"/>
      <c r="G32" s="43"/>
      <c r="H32" s="43"/>
      <c r="I32" s="43"/>
      <c r="J32" s="44"/>
      <c r="K32" s="44"/>
      <c r="L32" s="44"/>
      <c r="M32" s="44"/>
      <c r="N32" s="44"/>
      <c r="O32" s="44"/>
      <c r="P32" s="44"/>
      <c r="Q32" s="44"/>
      <c r="R32" s="44"/>
      <c r="S32" s="44"/>
      <c r="T32" s="44"/>
      <c r="U32" s="44"/>
      <c r="V32" s="44"/>
      <c r="W32" s="44"/>
      <c r="X32" s="44"/>
      <c r="Y32" s="44"/>
      <c r="Z32" s="44"/>
      <c r="AA32" s="43"/>
      <c r="AB32" s="43"/>
      <c r="AC32" s="43"/>
      <c r="AD32" s="43"/>
      <c r="AE32" s="43"/>
      <c r="AF32" s="43"/>
      <c r="AG32" s="43"/>
      <c r="AH32" s="43"/>
      <c r="AI32" s="43"/>
      <c r="AJ32" s="44"/>
      <c r="AK32" s="44"/>
      <c r="AL32" s="44"/>
      <c r="AM32" s="44"/>
      <c r="AN32" s="44"/>
      <c r="AO32" s="44"/>
      <c r="AP32" s="44"/>
      <c r="AQ32" s="44"/>
      <c r="AR32" s="44"/>
      <c r="AS32" s="44"/>
      <c r="AT32" s="44"/>
      <c r="AU32" s="44"/>
      <c r="AV32" s="44"/>
      <c r="AW32" s="44"/>
      <c r="AX32" s="44"/>
      <c r="AY32" s="44"/>
      <c r="AZ32" s="44"/>
      <c r="BA32" s="79">
        <v>20</v>
      </c>
      <c r="BB32" s="79"/>
      <c r="BC32" s="79"/>
    </row>
    <row r="33" spans="1:55" ht="14.25">
      <c r="A33" s="43"/>
      <c r="B33" s="43"/>
      <c r="C33" s="43"/>
      <c r="D33" s="43"/>
      <c r="E33" s="43"/>
      <c r="F33" s="43"/>
      <c r="G33" s="43"/>
      <c r="H33" s="43"/>
      <c r="I33" s="43"/>
      <c r="J33" s="44"/>
      <c r="K33" s="44"/>
      <c r="L33" s="44"/>
      <c r="M33" s="44"/>
      <c r="N33" s="44"/>
      <c r="O33" s="44"/>
      <c r="P33" s="44"/>
      <c r="Q33" s="44"/>
      <c r="R33" s="44"/>
      <c r="S33" s="44"/>
      <c r="T33" s="44"/>
      <c r="U33" s="44"/>
      <c r="V33" s="44"/>
      <c r="W33" s="44"/>
      <c r="X33" s="44"/>
      <c r="Y33" s="44"/>
      <c r="Z33" s="44"/>
      <c r="AA33" s="43"/>
      <c r="AB33" s="43"/>
      <c r="AC33" s="43"/>
      <c r="AD33" s="43"/>
      <c r="AE33" s="43"/>
      <c r="AF33" s="43"/>
      <c r="AG33" s="43"/>
      <c r="AH33" s="43"/>
      <c r="AI33" s="43"/>
      <c r="AJ33" s="44"/>
      <c r="AK33" s="44"/>
      <c r="AL33" s="44"/>
      <c r="AM33" s="44"/>
      <c r="AN33" s="44"/>
      <c r="AO33" s="44"/>
      <c r="AP33" s="44"/>
      <c r="AQ33" s="44"/>
      <c r="AR33" s="44"/>
      <c r="AS33" s="44"/>
      <c r="AT33" s="44"/>
      <c r="AU33" s="44"/>
      <c r="AV33" s="44"/>
      <c r="AW33" s="44"/>
      <c r="AX33" s="44"/>
      <c r="AY33" s="44"/>
      <c r="AZ33" s="44"/>
      <c r="BA33" s="79">
        <v>21</v>
      </c>
      <c r="BB33" s="79"/>
      <c r="BC33" s="79"/>
    </row>
    <row r="34" spans="1:55" ht="14.25">
      <c r="A34" s="43"/>
      <c r="B34" s="43"/>
      <c r="C34" s="43"/>
      <c r="D34" s="43"/>
      <c r="E34" s="43"/>
      <c r="F34" s="43"/>
      <c r="G34" s="43"/>
      <c r="H34" s="43"/>
      <c r="I34" s="43"/>
      <c r="J34" s="44"/>
      <c r="K34" s="44"/>
      <c r="L34" s="44"/>
      <c r="M34" s="44"/>
      <c r="N34" s="44"/>
      <c r="O34" s="44"/>
      <c r="P34" s="44"/>
      <c r="Q34" s="44"/>
      <c r="R34" s="44"/>
      <c r="S34" s="44"/>
      <c r="T34" s="44"/>
      <c r="U34" s="44"/>
      <c r="V34" s="44"/>
      <c r="W34" s="44"/>
      <c r="X34" s="44"/>
      <c r="Y34" s="44"/>
      <c r="Z34" s="44"/>
      <c r="AA34" s="43"/>
      <c r="AB34" s="43"/>
      <c r="AC34" s="43"/>
      <c r="AD34" s="43"/>
      <c r="AE34" s="43"/>
      <c r="AF34" s="43"/>
      <c r="AG34" s="43"/>
      <c r="AH34" s="43"/>
      <c r="AI34" s="43"/>
      <c r="AJ34" s="44"/>
      <c r="AK34" s="44"/>
      <c r="AL34" s="44"/>
      <c r="AM34" s="44"/>
      <c r="AN34" s="44"/>
      <c r="AO34" s="44"/>
      <c r="AP34" s="44"/>
      <c r="AQ34" s="44"/>
      <c r="AR34" s="44"/>
      <c r="AS34" s="44"/>
      <c r="AT34" s="44"/>
      <c r="AU34" s="44"/>
      <c r="AV34" s="44"/>
      <c r="AW34" s="44"/>
      <c r="AX34" s="44"/>
      <c r="AY34" s="44"/>
      <c r="AZ34" s="44"/>
      <c r="BA34" s="79">
        <v>22</v>
      </c>
      <c r="BB34" s="79"/>
      <c r="BC34" s="79"/>
    </row>
    <row r="35" spans="1:55" ht="14.25">
      <c r="A35" s="43"/>
      <c r="B35" s="43"/>
      <c r="C35" s="43"/>
      <c r="D35" s="43"/>
      <c r="E35" s="43"/>
      <c r="F35" s="43"/>
      <c r="G35" s="43"/>
      <c r="H35" s="43"/>
      <c r="I35" s="43"/>
      <c r="J35" s="44"/>
      <c r="K35" s="44"/>
      <c r="L35" s="44"/>
      <c r="M35" s="44"/>
      <c r="N35" s="44"/>
      <c r="O35" s="44"/>
      <c r="P35" s="44"/>
      <c r="Q35" s="44"/>
      <c r="R35" s="44"/>
      <c r="S35" s="44"/>
      <c r="T35" s="44"/>
      <c r="U35" s="44"/>
      <c r="V35" s="44"/>
      <c r="W35" s="44"/>
      <c r="X35" s="44"/>
      <c r="Y35" s="44"/>
      <c r="Z35" s="44"/>
      <c r="AA35" s="43"/>
      <c r="AB35" s="43"/>
      <c r="AC35" s="43"/>
      <c r="AD35" s="43"/>
      <c r="AE35" s="43"/>
      <c r="AF35" s="43"/>
      <c r="AG35" s="43"/>
      <c r="AH35" s="43"/>
      <c r="AI35" s="43"/>
      <c r="AJ35" s="44"/>
      <c r="AK35" s="44"/>
      <c r="AL35" s="44"/>
      <c r="AM35" s="44"/>
      <c r="AN35" s="44"/>
      <c r="AO35" s="44"/>
      <c r="AP35" s="44"/>
      <c r="AQ35" s="44"/>
      <c r="AR35" s="44"/>
      <c r="AS35" s="44"/>
      <c r="AT35" s="44"/>
      <c r="AU35" s="44"/>
      <c r="AV35" s="44"/>
      <c r="AW35" s="44"/>
      <c r="AX35" s="44"/>
      <c r="AY35" s="44"/>
      <c r="AZ35" s="44"/>
      <c r="BA35" s="79">
        <v>23</v>
      </c>
      <c r="BB35" s="79"/>
      <c r="BC35" s="79"/>
    </row>
    <row r="36" spans="1:55" ht="14.25">
      <c r="A36" s="43"/>
      <c r="B36" s="43"/>
      <c r="C36" s="43"/>
      <c r="D36" s="43"/>
      <c r="E36" s="43"/>
      <c r="F36" s="43"/>
      <c r="G36" s="43"/>
      <c r="H36" s="43"/>
      <c r="I36" s="43"/>
      <c r="J36" s="44"/>
      <c r="K36" s="44"/>
      <c r="L36" s="44"/>
      <c r="M36" s="44"/>
      <c r="N36" s="44"/>
      <c r="O36" s="44"/>
      <c r="P36" s="44"/>
      <c r="Q36" s="44"/>
      <c r="R36" s="44"/>
      <c r="S36" s="44"/>
      <c r="T36" s="44"/>
      <c r="U36" s="44"/>
      <c r="V36" s="44"/>
      <c r="W36" s="44"/>
      <c r="X36" s="44"/>
      <c r="Y36" s="44"/>
      <c r="Z36" s="44"/>
      <c r="AA36" s="43"/>
      <c r="AB36" s="43"/>
      <c r="AC36" s="43"/>
      <c r="AD36" s="43"/>
      <c r="AE36" s="43"/>
      <c r="AF36" s="43"/>
      <c r="AG36" s="43"/>
      <c r="AH36" s="43"/>
      <c r="AI36" s="43"/>
      <c r="AJ36" s="44"/>
      <c r="AK36" s="44"/>
      <c r="AL36" s="44"/>
      <c r="AM36" s="44"/>
      <c r="AN36" s="44"/>
      <c r="AO36" s="44"/>
      <c r="AP36" s="44"/>
      <c r="AQ36" s="44"/>
      <c r="AR36" s="44"/>
      <c r="AS36" s="44"/>
      <c r="AT36" s="44"/>
      <c r="AU36" s="44"/>
      <c r="AV36" s="44"/>
      <c r="AW36" s="44"/>
      <c r="AX36" s="44"/>
      <c r="AY36" s="44"/>
      <c r="AZ36" s="44"/>
      <c r="BA36" s="79">
        <v>24</v>
      </c>
      <c r="BB36" s="79"/>
      <c r="BC36" s="79"/>
    </row>
    <row r="37" spans="1:55" ht="14.25">
      <c r="A37" s="43"/>
      <c r="B37" s="43"/>
      <c r="C37" s="43"/>
      <c r="D37" s="43"/>
      <c r="E37" s="43"/>
      <c r="F37" s="43"/>
      <c r="G37" s="43"/>
      <c r="H37" s="43"/>
      <c r="I37" s="43"/>
      <c r="J37" s="44"/>
      <c r="K37" s="44"/>
      <c r="L37" s="44"/>
      <c r="M37" s="44"/>
      <c r="N37" s="44"/>
      <c r="O37" s="44"/>
      <c r="P37" s="44"/>
      <c r="Q37" s="44"/>
      <c r="R37" s="44"/>
      <c r="S37" s="44"/>
      <c r="T37" s="44"/>
      <c r="U37" s="44"/>
      <c r="V37" s="44"/>
      <c r="W37" s="44"/>
      <c r="X37" s="44"/>
      <c r="Y37" s="44"/>
      <c r="Z37" s="44"/>
      <c r="AA37" s="43"/>
      <c r="AB37" s="43"/>
      <c r="AC37" s="43"/>
      <c r="AD37" s="43"/>
      <c r="AE37" s="43"/>
      <c r="AF37" s="43"/>
      <c r="AG37" s="43"/>
      <c r="AH37" s="43"/>
      <c r="AI37" s="43"/>
      <c r="AJ37" s="44"/>
      <c r="AK37" s="44"/>
      <c r="AL37" s="44"/>
      <c r="AM37" s="44"/>
      <c r="AN37" s="44"/>
      <c r="AO37" s="44"/>
      <c r="AP37" s="44"/>
      <c r="AQ37" s="44"/>
      <c r="AR37" s="44"/>
      <c r="AS37" s="44"/>
      <c r="AT37" s="44"/>
      <c r="AU37" s="44"/>
      <c r="AV37" s="44"/>
      <c r="AW37" s="44"/>
      <c r="AX37" s="44"/>
      <c r="AY37" s="44"/>
      <c r="AZ37" s="44"/>
      <c r="BA37" s="79">
        <v>25</v>
      </c>
      <c r="BB37" s="79"/>
      <c r="BC37" s="79"/>
    </row>
    <row r="38" spans="1:55" ht="14.25">
      <c r="A38" s="43"/>
      <c r="B38" s="43"/>
      <c r="C38" s="43"/>
      <c r="D38" s="43"/>
      <c r="E38" s="43"/>
      <c r="F38" s="43"/>
      <c r="G38" s="43"/>
      <c r="H38" s="43"/>
      <c r="I38" s="43"/>
      <c r="J38" s="44"/>
      <c r="K38" s="44"/>
      <c r="L38" s="44"/>
      <c r="M38" s="44"/>
      <c r="N38" s="44"/>
      <c r="O38" s="44"/>
      <c r="P38" s="44"/>
      <c r="Q38" s="44"/>
      <c r="R38" s="44"/>
      <c r="S38" s="44"/>
      <c r="T38" s="44"/>
      <c r="U38" s="44"/>
      <c r="V38" s="44"/>
      <c r="W38" s="44"/>
      <c r="X38" s="44"/>
      <c r="Y38" s="44"/>
      <c r="Z38" s="44"/>
      <c r="AA38" s="43"/>
      <c r="AB38" s="43"/>
      <c r="AC38" s="43"/>
      <c r="AD38" s="43"/>
      <c r="AE38" s="43"/>
      <c r="AF38" s="43"/>
      <c r="AG38" s="43"/>
      <c r="AH38" s="43"/>
      <c r="AI38" s="43"/>
      <c r="AJ38" s="44"/>
      <c r="AK38" s="44"/>
      <c r="AL38" s="44"/>
      <c r="AM38" s="44"/>
      <c r="AN38" s="44"/>
      <c r="AO38" s="44"/>
      <c r="AP38" s="44"/>
      <c r="AQ38" s="44"/>
      <c r="AR38" s="44"/>
      <c r="AS38" s="44"/>
      <c r="AT38" s="44"/>
      <c r="AU38" s="44"/>
      <c r="AV38" s="44"/>
      <c r="AW38" s="44"/>
      <c r="AX38" s="44"/>
      <c r="AY38" s="44"/>
      <c r="AZ38" s="44"/>
      <c r="BA38" s="79">
        <v>26</v>
      </c>
      <c r="BB38" s="79"/>
      <c r="BC38" s="79"/>
    </row>
    <row r="39" spans="1:55" ht="14.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79">
        <v>27</v>
      </c>
      <c r="BB39" s="79"/>
      <c r="BC39" s="79"/>
    </row>
    <row r="40" spans="1:55" ht="14.2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79">
        <v>28</v>
      </c>
      <c r="BB40" s="79"/>
      <c r="BC40" s="79"/>
    </row>
    <row r="41" spans="1:55" ht="14.2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79">
        <v>29</v>
      </c>
      <c r="BB41" s="79"/>
      <c r="BC41" s="79"/>
    </row>
    <row r="42" spans="1:55" ht="14.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79">
        <v>30</v>
      </c>
      <c r="BB42" s="79"/>
      <c r="BC42" s="79"/>
    </row>
    <row r="43" spans="1:55" ht="14.2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79">
        <v>31</v>
      </c>
      <c r="BB43" s="79"/>
      <c r="BC43" s="79"/>
    </row>
    <row r="44" spans="1:55" ht="14.2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55" ht="14.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row>
    <row r="46" spans="1:55" ht="14.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row>
    <row r="47" spans="1:55" ht="14.2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row>
    <row r="48" spans="1:55" ht="14.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row>
    <row r="49" spans="1:52" ht="14.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row>
  </sheetData>
  <sheetProtection algorithmName="SHA-512" hashValue="zt58W8ypI2J3a1Uu0esNGG/kno2HIUO1iUdvmPFtgVI9fT+3EcQB1uNt/KPdiLzo2cJCupCjXjSZyeVLckBc6w==" saltValue="M/Yr/qNjEhrsmdOV7xFeqw==" spinCount="100000" sheet="1" selectLockedCells="1"/>
  <mergeCells count="80">
    <mergeCell ref="A1:Z1"/>
    <mergeCell ref="AA1:AZ1"/>
    <mergeCell ref="A2:Z2"/>
    <mergeCell ref="AA2:AZ2"/>
    <mergeCell ref="A3:Z3"/>
    <mergeCell ref="AA3:AZ3"/>
    <mergeCell ref="A5:Z5"/>
    <mergeCell ref="AA5:AZ5"/>
    <mergeCell ref="A6:Z6"/>
    <mergeCell ref="AA6:AZ6"/>
    <mergeCell ref="R4:T4"/>
    <mergeCell ref="AR4:AT4"/>
    <mergeCell ref="A7:Z7"/>
    <mergeCell ref="AA7:AZ7"/>
    <mergeCell ref="A8:Z8"/>
    <mergeCell ref="AA8:AZ8"/>
    <mergeCell ref="A9:Z9"/>
    <mergeCell ref="AA9:AZ9"/>
    <mergeCell ref="A10:Z10"/>
    <mergeCell ref="AA10:AZ10"/>
    <mergeCell ref="A11:L11"/>
    <mergeCell ref="M11:O11"/>
    <mergeCell ref="P11:Z11"/>
    <mergeCell ref="AA11:AL11"/>
    <mergeCell ref="AM11:AO11"/>
    <mergeCell ref="AP11:AZ11"/>
    <mergeCell ref="AP13:AZ13"/>
    <mergeCell ref="A12:L12"/>
    <mergeCell ref="M12:O12"/>
    <mergeCell ref="P12:X12"/>
    <mergeCell ref="AA12:AL12"/>
    <mergeCell ref="AM12:AO12"/>
    <mergeCell ref="AP12:AX12"/>
    <mergeCell ref="A13:L13"/>
    <mergeCell ref="M13:O13"/>
    <mergeCell ref="P13:Z13"/>
    <mergeCell ref="AA13:AL13"/>
    <mergeCell ref="AM13:AO13"/>
    <mergeCell ref="AM14:AO14"/>
    <mergeCell ref="A15:Z15"/>
    <mergeCell ref="AA15:AZ15"/>
    <mergeCell ref="A14:L14"/>
    <mergeCell ref="M14:O14"/>
    <mergeCell ref="AA14:AL14"/>
    <mergeCell ref="P14:Z14"/>
    <mergeCell ref="AP14:AZ14"/>
    <mergeCell ref="A16:Z16"/>
    <mergeCell ref="AA16:AZ16"/>
    <mergeCell ref="A17:F18"/>
    <mergeCell ref="L17:Y18"/>
    <mergeCell ref="AA17:AF18"/>
    <mergeCell ref="AH17:AJ17"/>
    <mergeCell ref="AL17:AY18"/>
    <mergeCell ref="AH18:AJ18"/>
    <mergeCell ref="G17:K17"/>
    <mergeCell ref="G18:K18"/>
    <mergeCell ref="A20:Z20"/>
    <mergeCell ref="AA20:AZ20"/>
    <mergeCell ref="A22:Z22"/>
    <mergeCell ref="AA22:AZ22"/>
    <mergeCell ref="Y23:Z23"/>
    <mergeCell ref="AY23:AZ23"/>
    <mergeCell ref="A23:D23"/>
    <mergeCell ref="AA23:AD23"/>
    <mergeCell ref="A24:Z24"/>
    <mergeCell ref="AA24:AZ24"/>
    <mergeCell ref="Y25:Z25"/>
    <mergeCell ref="AY25:AZ25"/>
    <mergeCell ref="A25:D25"/>
    <mergeCell ref="AA25:AD25"/>
    <mergeCell ref="A28:Z28"/>
    <mergeCell ref="AA28:AZ28"/>
    <mergeCell ref="A29:Z29"/>
    <mergeCell ref="AA29:AZ29"/>
    <mergeCell ref="A26:Z26"/>
    <mergeCell ref="AA26:AZ26"/>
    <mergeCell ref="A27:D27"/>
    <mergeCell ref="F27:Z27"/>
    <mergeCell ref="AA27:AD27"/>
    <mergeCell ref="AF27:AZ27"/>
  </mergeCells>
  <phoneticPr fontId="8"/>
  <conditionalFormatting sqref="G17:K17">
    <cfRule type="expression" dxfId="1" priority="3">
      <formula>$Z$17=TRUE</formula>
    </cfRule>
  </conditionalFormatting>
  <conditionalFormatting sqref="G18:K18">
    <cfRule type="expression" dxfId="0"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4" orientation="portrait" r:id="rId1"/>
  <headerFooter>
    <oddHeader>&amp;RⅥ-11</oddHead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85" zoomScaleNormal="100" zoomScaleSheetLayoutView="85" workbookViewId="0">
      <selection activeCell="D4" sqref="D4:Z4"/>
    </sheetView>
  </sheetViews>
  <sheetFormatPr defaultRowHeight="13.5"/>
  <cols>
    <col min="1" max="17" width="3.625" style="3" customWidth="1"/>
    <col min="18" max="19" width="4.125" style="3" customWidth="1"/>
    <col min="20" max="52" width="3.625" style="3" customWidth="1"/>
    <col min="53" max="53" width="9" style="2"/>
    <col min="54" max="54" width="9.75" style="2" bestFit="1" customWidth="1"/>
    <col min="55" max="55" width="22.25" style="12" customWidth="1"/>
    <col min="56" max="56" width="13" style="2" bestFit="1" customWidth="1"/>
    <col min="57" max="57" width="12.5" style="155" customWidth="1"/>
    <col min="58" max="60" width="9" style="2"/>
    <col min="61" max="61" width="27.5" style="2" bestFit="1" customWidth="1"/>
    <col min="62" max="62" width="42.375" style="340" customWidth="1"/>
    <col min="63" max="63" width="19.375" style="340" customWidth="1"/>
    <col min="64" max="64" width="41.75" style="2" bestFit="1" customWidth="1"/>
    <col min="65" max="65" width="9.75" style="305" bestFit="1" customWidth="1"/>
    <col min="66" max="66" width="14.125" style="306" bestFit="1" customWidth="1"/>
    <col min="67" max="67" width="14.125" style="2" bestFit="1" customWidth="1"/>
    <col min="68" max="68" width="9" style="2"/>
    <col min="69" max="69" width="23" style="2" bestFit="1" customWidth="1"/>
    <col min="70" max="70" width="40.875" style="2" bestFit="1" customWidth="1"/>
    <col min="71" max="16384" width="9" style="2"/>
  </cols>
  <sheetData>
    <row r="1" spans="1:72" ht="24.95" customHeight="1">
      <c r="A1" s="1324" t="s">
        <v>77</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0" t="s">
        <v>77</v>
      </c>
      <c r="AB1" s="1320"/>
      <c r="AC1" s="1320"/>
      <c r="AD1" s="1320"/>
      <c r="AE1" s="1320"/>
      <c r="AF1" s="1320"/>
      <c r="AG1" s="1320"/>
      <c r="AH1" s="1320"/>
      <c r="AI1" s="1320"/>
      <c r="AJ1" s="1320"/>
      <c r="AK1" s="1320"/>
      <c r="AL1" s="1320"/>
      <c r="AM1" s="1320"/>
      <c r="AN1" s="1320"/>
      <c r="AO1" s="1320"/>
      <c r="AP1" s="1320"/>
      <c r="AQ1" s="1320"/>
      <c r="AR1" s="1320"/>
      <c r="AS1" s="1320"/>
      <c r="AT1" s="1320"/>
      <c r="AU1" s="1320"/>
      <c r="AV1" s="1320"/>
      <c r="AW1" s="1320"/>
      <c r="AX1" s="1320"/>
      <c r="AY1" s="1320"/>
      <c r="AZ1" s="1320"/>
      <c r="BA1" s="344">
        <v>1</v>
      </c>
      <c r="BB1" s="82" t="s">
        <v>1363</v>
      </c>
      <c r="BC1" s="82" t="s">
        <v>1366</v>
      </c>
      <c r="BD1" s="82" t="s">
        <v>1364</v>
      </c>
      <c r="BE1" s="82" t="s">
        <v>1365</v>
      </c>
      <c r="BF1" s="769" t="s">
        <v>2957</v>
      </c>
      <c r="BG1" s="1356" t="s">
        <v>1405</v>
      </c>
      <c r="BH1" s="1356"/>
      <c r="BI1" s="1356"/>
      <c r="BJ1" s="1356"/>
      <c r="BK1" s="1356"/>
      <c r="BL1" s="1356"/>
      <c r="BM1" s="1356"/>
      <c r="BN1" s="1356"/>
      <c r="BO1" s="1356"/>
      <c r="BP1" s="344"/>
    </row>
    <row r="2" spans="1:72" ht="12.6" customHeight="1">
      <c r="A2" s="464"/>
      <c r="B2" s="464"/>
      <c r="C2" s="464"/>
      <c r="D2" s="464"/>
      <c r="E2" s="464"/>
      <c r="F2" s="464"/>
      <c r="G2" s="464"/>
      <c r="H2" s="464"/>
      <c r="I2" s="464"/>
      <c r="J2" s="464"/>
      <c r="K2" s="464"/>
      <c r="L2" s="464"/>
      <c r="M2" s="464"/>
      <c r="N2" s="464"/>
      <c r="O2" s="464"/>
      <c r="P2" s="465"/>
      <c r="Q2" s="465"/>
      <c r="R2" s="465"/>
      <c r="S2" s="465"/>
      <c r="T2" s="465"/>
      <c r="U2" s="465"/>
      <c r="V2" s="465"/>
      <c r="W2" s="465"/>
      <c r="X2" s="465"/>
      <c r="Y2" s="465"/>
      <c r="Z2" s="465"/>
      <c r="AA2" s="1320"/>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c r="AY2" s="1320"/>
      <c r="AZ2" s="1320"/>
      <c r="BA2" s="344">
        <v>2</v>
      </c>
      <c r="BB2" s="770">
        <v>600000</v>
      </c>
      <c r="BC2" s="382" t="str">
        <f t="shared" ref="BC2:BC62" si="0">BD2&amp;BE2</f>
        <v>札幌市中央区</v>
      </c>
      <c r="BD2" s="382" t="s">
        <v>571</v>
      </c>
      <c r="BE2" s="82"/>
      <c r="BF2" s="82" t="s">
        <v>2958</v>
      </c>
      <c r="BG2" s="82" t="s">
        <v>1616</v>
      </c>
      <c r="BH2" s="82" t="s">
        <v>1601</v>
      </c>
      <c r="BI2" s="82" t="s">
        <v>1407</v>
      </c>
      <c r="BJ2" s="769" t="s">
        <v>1894</v>
      </c>
      <c r="BK2" s="769" t="s">
        <v>1895</v>
      </c>
      <c r="BL2" s="82" t="s">
        <v>1408</v>
      </c>
      <c r="BM2" s="771" t="s">
        <v>1409</v>
      </c>
      <c r="BN2" s="772" t="s">
        <v>1410</v>
      </c>
      <c r="BO2" s="769" t="s">
        <v>1411</v>
      </c>
      <c r="BP2" s="344"/>
    </row>
    <row r="3" spans="1:72" ht="12.6" customHeight="1">
      <c r="A3" s="1321" t="s">
        <v>3127</v>
      </c>
      <c r="B3" s="1323" t="s">
        <v>74</v>
      </c>
      <c r="C3" s="1323"/>
      <c r="D3" s="1333"/>
      <c r="E3" s="1333"/>
      <c r="F3" s="1333"/>
      <c r="G3" s="1333"/>
      <c r="H3" s="1333"/>
      <c r="I3" s="1333"/>
      <c r="J3" s="1333"/>
      <c r="K3" s="1333"/>
      <c r="L3" s="1333"/>
      <c r="M3" s="1333"/>
      <c r="N3" s="1333"/>
      <c r="O3" s="1333"/>
      <c r="P3" s="1333"/>
      <c r="Q3" s="1333"/>
      <c r="R3" s="1333"/>
      <c r="S3" s="1333"/>
      <c r="T3" s="1333"/>
      <c r="U3" s="1333"/>
      <c r="V3" s="1333"/>
      <c r="W3" s="1333"/>
      <c r="X3" s="1333"/>
      <c r="Y3" s="1333"/>
      <c r="Z3" s="1334"/>
      <c r="AA3" s="1321" t="s">
        <v>76</v>
      </c>
      <c r="AB3" s="1323" t="s">
        <v>70</v>
      </c>
      <c r="AC3" s="1323"/>
      <c r="AD3" s="1323" t="s">
        <v>2997</v>
      </c>
      <c r="AE3" s="1323"/>
      <c r="AF3" s="1323"/>
      <c r="AG3" s="1323"/>
      <c r="AH3" s="1323"/>
      <c r="AI3" s="1323"/>
      <c r="AJ3" s="1323"/>
      <c r="AK3" s="1323"/>
      <c r="AL3" s="1323"/>
      <c r="AM3" s="1323"/>
      <c r="AN3" s="1323"/>
      <c r="AO3" s="1323"/>
      <c r="AP3" s="1323"/>
      <c r="AQ3" s="1323"/>
      <c r="AR3" s="1323"/>
      <c r="AS3" s="1323"/>
      <c r="AT3" s="1323"/>
      <c r="AU3" s="1323"/>
      <c r="AV3" s="1323"/>
      <c r="AW3" s="1323"/>
      <c r="AX3" s="1323"/>
      <c r="AY3" s="1323"/>
      <c r="AZ3" s="1327"/>
      <c r="BA3" s="344">
        <v>3</v>
      </c>
      <c r="BB3" s="770">
        <v>640941</v>
      </c>
      <c r="BC3" s="382" t="str">
        <f t="shared" si="0"/>
        <v>札幌市中央区旭ケ丘</v>
      </c>
      <c r="BD3" s="382" t="s">
        <v>571</v>
      </c>
      <c r="BE3" s="82" t="s">
        <v>581</v>
      </c>
      <c r="BF3" s="82" t="s">
        <v>1830</v>
      </c>
      <c r="BG3" s="1228" t="s">
        <v>1406</v>
      </c>
      <c r="BH3" s="773">
        <v>1</v>
      </c>
      <c r="BI3" s="382" t="s">
        <v>1412</v>
      </c>
      <c r="BJ3" s="774" t="s">
        <v>1896</v>
      </c>
      <c r="BK3" s="774" t="s">
        <v>1897</v>
      </c>
      <c r="BL3" s="382" t="s">
        <v>1413</v>
      </c>
      <c r="BM3" s="765">
        <v>600041</v>
      </c>
      <c r="BN3" s="775" t="s">
        <v>1414</v>
      </c>
      <c r="BO3" s="382" t="s">
        <v>2282</v>
      </c>
      <c r="BP3" s="344"/>
      <c r="BQ3" s="343"/>
      <c r="BR3" s="343"/>
      <c r="BS3" s="343"/>
      <c r="BT3" s="343"/>
    </row>
    <row r="4" spans="1:72" ht="37.5" customHeight="1">
      <c r="A4" s="1322"/>
      <c r="B4" s="1328" t="s">
        <v>303</v>
      </c>
      <c r="C4" s="1328"/>
      <c r="D4" s="1335"/>
      <c r="E4" s="1335"/>
      <c r="F4" s="1335"/>
      <c r="G4" s="1335"/>
      <c r="H4" s="1335"/>
      <c r="I4" s="1335"/>
      <c r="J4" s="1335"/>
      <c r="K4" s="1335"/>
      <c r="L4" s="1335"/>
      <c r="M4" s="1335"/>
      <c r="N4" s="1335"/>
      <c r="O4" s="1335"/>
      <c r="P4" s="1335"/>
      <c r="Q4" s="1335"/>
      <c r="R4" s="1335"/>
      <c r="S4" s="1335"/>
      <c r="T4" s="1335"/>
      <c r="U4" s="1335"/>
      <c r="V4" s="1335"/>
      <c r="W4" s="1335"/>
      <c r="X4" s="1335"/>
      <c r="Y4" s="1335"/>
      <c r="Z4" s="1336"/>
      <c r="AA4" s="1322"/>
      <c r="AB4" s="1328" t="s">
        <v>75</v>
      </c>
      <c r="AC4" s="1328"/>
      <c r="AD4" s="1329" t="s">
        <v>2996</v>
      </c>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30"/>
      <c r="BA4" s="344">
        <v>4</v>
      </c>
      <c r="BB4" s="770">
        <v>600041</v>
      </c>
      <c r="BC4" s="382" t="str">
        <f t="shared" si="0"/>
        <v>札幌市中央区大通東</v>
      </c>
      <c r="BD4" s="382" t="s">
        <v>571</v>
      </c>
      <c r="BE4" s="82" t="s">
        <v>582</v>
      </c>
      <c r="BF4" s="82" t="s">
        <v>1831</v>
      </c>
      <c r="BG4" s="1228"/>
      <c r="BH4" s="82">
        <v>2</v>
      </c>
      <c r="BI4" s="382" t="s">
        <v>1415</v>
      </c>
      <c r="BJ4" s="382" t="s">
        <v>1898</v>
      </c>
      <c r="BK4" s="382" t="s">
        <v>1899</v>
      </c>
      <c r="BL4" s="382" t="s">
        <v>1416</v>
      </c>
      <c r="BM4" s="765">
        <v>640914</v>
      </c>
      <c r="BN4" s="766" t="s">
        <v>1417</v>
      </c>
      <c r="BO4" s="776" t="s">
        <v>2283</v>
      </c>
      <c r="BP4" s="344"/>
      <c r="BQ4" s="351"/>
      <c r="BR4" s="351"/>
      <c r="BS4" s="343"/>
      <c r="BT4" s="343"/>
    </row>
    <row r="5" spans="1:72" ht="12.6" customHeight="1">
      <c r="A5" s="1331" t="s">
        <v>73</v>
      </c>
      <c r="B5" s="1230" t="s">
        <v>74</v>
      </c>
      <c r="C5" s="1230"/>
      <c r="D5" s="1325"/>
      <c r="E5" s="1325"/>
      <c r="F5" s="1325"/>
      <c r="G5" s="1325"/>
      <c r="H5" s="1325"/>
      <c r="I5" s="1325"/>
      <c r="J5" s="1325"/>
      <c r="K5" s="1325"/>
      <c r="L5" s="1325"/>
      <c r="M5" s="1326"/>
      <c r="N5" s="1232" t="s">
        <v>2986</v>
      </c>
      <c r="O5" s="1233"/>
      <c r="P5" s="1234"/>
      <c r="Q5" s="1230" t="s">
        <v>74</v>
      </c>
      <c r="R5" s="1230"/>
      <c r="S5" s="1325"/>
      <c r="T5" s="1325"/>
      <c r="U5" s="1325"/>
      <c r="V5" s="1325"/>
      <c r="W5" s="1325"/>
      <c r="X5" s="1325"/>
      <c r="Y5" s="1325"/>
      <c r="Z5" s="1326"/>
      <c r="AA5" s="1154" t="s">
        <v>73</v>
      </c>
      <c r="AB5" s="1230" t="s">
        <v>70</v>
      </c>
      <c r="AC5" s="1230"/>
      <c r="AD5" s="1230" t="s">
        <v>72</v>
      </c>
      <c r="AE5" s="1230"/>
      <c r="AF5" s="1230"/>
      <c r="AG5" s="1230"/>
      <c r="AH5" s="1230"/>
      <c r="AI5" s="1230"/>
      <c r="AJ5" s="1230"/>
      <c r="AK5" s="1230"/>
      <c r="AL5" s="1230"/>
      <c r="AM5" s="1231"/>
      <c r="AN5" s="1232" t="s">
        <v>71</v>
      </c>
      <c r="AO5" s="1233"/>
      <c r="AP5" s="1234"/>
      <c r="AQ5" s="1230" t="s">
        <v>70</v>
      </c>
      <c r="AR5" s="1230"/>
      <c r="AS5" s="1230" t="s">
        <v>69</v>
      </c>
      <c r="AT5" s="1230"/>
      <c r="AU5" s="1230"/>
      <c r="AV5" s="1230"/>
      <c r="AW5" s="1230"/>
      <c r="AX5" s="1230"/>
      <c r="AY5" s="1230"/>
      <c r="AZ5" s="1231"/>
      <c r="BA5" s="344">
        <v>5</v>
      </c>
      <c r="BB5" s="770">
        <v>600042</v>
      </c>
      <c r="BC5" s="382" t="str">
        <f t="shared" si="0"/>
        <v>札幌市中央区大通西</v>
      </c>
      <c r="BD5" s="382" t="s">
        <v>571</v>
      </c>
      <c r="BE5" s="82" t="s">
        <v>1357</v>
      </c>
      <c r="BF5" s="82" t="s">
        <v>1832</v>
      </c>
      <c r="BG5" s="1228"/>
      <c r="BH5" s="82">
        <v>3</v>
      </c>
      <c r="BI5" s="382" t="s">
        <v>1418</v>
      </c>
      <c r="BJ5" s="774" t="s">
        <v>1900</v>
      </c>
      <c r="BK5" s="774" t="s">
        <v>1901</v>
      </c>
      <c r="BL5" s="774" t="s">
        <v>1419</v>
      </c>
      <c r="BM5" s="777">
        <v>640810</v>
      </c>
      <c r="BN5" s="775" t="s">
        <v>1420</v>
      </c>
      <c r="BO5" s="776" t="s">
        <v>2284</v>
      </c>
      <c r="BP5" s="344"/>
      <c r="BQ5" s="351"/>
      <c r="BR5" s="351"/>
      <c r="BS5" s="343"/>
      <c r="BT5" s="343"/>
    </row>
    <row r="6" spans="1:72" ht="24.95" customHeight="1">
      <c r="A6" s="1154"/>
      <c r="B6" s="1287" t="s">
        <v>67</v>
      </c>
      <c r="C6" s="1287"/>
      <c r="D6" s="1337"/>
      <c r="E6" s="1337"/>
      <c r="F6" s="1337"/>
      <c r="G6" s="1337"/>
      <c r="H6" s="1337"/>
      <c r="I6" s="1337"/>
      <c r="J6" s="1337"/>
      <c r="K6" s="1337"/>
      <c r="L6" s="1337"/>
      <c r="M6" s="1338"/>
      <c r="N6" s="1235"/>
      <c r="O6" s="1235"/>
      <c r="P6" s="1236"/>
      <c r="Q6" s="1239" t="s">
        <v>67</v>
      </c>
      <c r="R6" s="1239"/>
      <c r="S6" s="1351"/>
      <c r="T6" s="1351"/>
      <c r="U6" s="1351"/>
      <c r="V6" s="1351"/>
      <c r="W6" s="1351"/>
      <c r="X6" s="1351"/>
      <c r="Y6" s="1351"/>
      <c r="Z6" s="1352"/>
      <c r="AA6" s="1154"/>
      <c r="AB6" s="1287" t="s">
        <v>67</v>
      </c>
      <c r="AC6" s="1287"/>
      <c r="AD6" s="1288" t="s">
        <v>68</v>
      </c>
      <c r="AE6" s="1288"/>
      <c r="AF6" s="1288"/>
      <c r="AG6" s="1288"/>
      <c r="AH6" s="1288"/>
      <c r="AI6" s="1288"/>
      <c r="AJ6" s="1288"/>
      <c r="AK6" s="1288"/>
      <c r="AL6" s="1288"/>
      <c r="AM6" s="1289"/>
      <c r="AN6" s="1235"/>
      <c r="AO6" s="1235"/>
      <c r="AP6" s="1236"/>
      <c r="AQ6" s="1239" t="s">
        <v>67</v>
      </c>
      <c r="AR6" s="1239"/>
      <c r="AS6" s="1266" t="s">
        <v>66</v>
      </c>
      <c r="AT6" s="1266"/>
      <c r="AU6" s="1266"/>
      <c r="AV6" s="1266"/>
      <c r="AW6" s="1266"/>
      <c r="AX6" s="1266"/>
      <c r="AY6" s="1266"/>
      <c r="AZ6" s="1267"/>
      <c r="BA6" s="344">
        <v>6</v>
      </c>
      <c r="BB6" s="770">
        <v>640820</v>
      </c>
      <c r="BC6" s="382" t="str">
        <f t="shared" si="0"/>
        <v>札幌市中央区大通西</v>
      </c>
      <c r="BD6" s="382" t="s">
        <v>571</v>
      </c>
      <c r="BE6" s="82" t="s">
        <v>1356</v>
      </c>
      <c r="BF6" s="82" t="s">
        <v>1833</v>
      </c>
      <c r="BG6" s="1228"/>
      <c r="BH6" s="82">
        <v>4</v>
      </c>
      <c r="BI6" s="382" t="s">
        <v>1421</v>
      </c>
      <c r="BJ6" s="382" t="s">
        <v>1902</v>
      </c>
      <c r="BK6" s="382" t="s">
        <v>1903</v>
      </c>
      <c r="BL6" s="382" t="s">
        <v>1422</v>
      </c>
      <c r="BM6" s="765">
        <v>600008</v>
      </c>
      <c r="BN6" s="766" t="s">
        <v>1423</v>
      </c>
      <c r="BO6" s="382" t="s">
        <v>2285</v>
      </c>
      <c r="BP6" s="344"/>
      <c r="BQ6" s="352"/>
      <c r="BR6" s="351"/>
      <c r="BS6" s="343"/>
      <c r="BT6" s="343"/>
    </row>
    <row r="7" spans="1:72" ht="24.95" customHeight="1">
      <c r="A7" s="1154"/>
      <c r="B7" s="1291" t="s">
        <v>65</v>
      </c>
      <c r="C7" s="1291"/>
      <c r="D7" s="466" t="s">
        <v>64</v>
      </c>
      <c r="E7" s="1332" t="str">
        <f>IFERROR(VLOOKUP(D4,BI3:BO204,5,FALSE),"")</f>
        <v/>
      </c>
      <c r="F7" s="1332"/>
      <c r="G7" s="1332"/>
      <c r="H7" s="1332"/>
      <c r="I7" s="1332"/>
      <c r="J7" s="1332"/>
      <c r="K7" s="1332"/>
      <c r="L7" s="1295" t="s">
        <v>1828</v>
      </c>
      <c r="M7" s="1295"/>
      <c r="N7" s="1295"/>
      <c r="O7" s="1295"/>
      <c r="P7" s="1295"/>
      <c r="Q7" s="1295"/>
      <c r="R7" s="1295"/>
      <c r="S7" s="1295"/>
      <c r="T7" s="1295"/>
      <c r="U7" s="1295"/>
      <c r="V7" s="1295"/>
      <c r="W7" s="1295"/>
      <c r="X7" s="1295"/>
      <c r="Y7" s="1295"/>
      <c r="Z7" s="1296"/>
      <c r="AA7" s="1154"/>
      <c r="AB7" s="1291" t="s">
        <v>65</v>
      </c>
      <c r="AC7" s="1291"/>
      <c r="AD7" s="466" t="s">
        <v>64</v>
      </c>
      <c r="AE7" s="1294">
        <v>50862</v>
      </c>
      <c r="AF7" s="1294"/>
      <c r="AG7" s="1294"/>
      <c r="AH7" s="1294"/>
      <c r="AI7" s="1294"/>
      <c r="AJ7" s="1294"/>
      <c r="AK7" s="1294"/>
      <c r="AL7" s="1295" t="s">
        <v>1828</v>
      </c>
      <c r="AM7" s="1295"/>
      <c r="AN7" s="1295"/>
      <c r="AO7" s="1295"/>
      <c r="AP7" s="1295"/>
      <c r="AQ7" s="1295"/>
      <c r="AR7" s="1295"/>
      <c r="AS7" s="1295"/>
      <c r="AT7" s="1295"/>
      <c r="AU7" s="1295"/>
      <c r="AV7" s="1295"/>
      <c r="AW7" s="1295"/>
      <c r="AX7" s="1295"/>
      <c r="AY7" s="1295"/>
      <c r="AZ7" s="1296"/>
      <c r="BA7" s="344">
        <v>7</v>
      </c>
      <c r="BB7" s="770">
        <v>600031</v>
      </c>
      <c r="BC7" s="382" t="str">
        <f t="shared" si="0"/>
        <v>札幌市中央区北一条東</v>
      </c>
      <c r="BD7" s="382" t="s">
        <v>571</v>
      </c>
      <c r="BE7" s="82" t="s">
        <v>583</v>
      </c>
      <c r="BF7" s="82" t="s">
        <v>1834</v>
      </c>
      <c r="BG7" s="1228"/>
      <c r="BH7" s="82">
        <v>5</v>
      </c>
      <c r="BI7" s="382" t="s">
        <v>1426</v>
      </c>
      <c r="BJ7" s="774" t="s">
        <v>1904</v>
      </c>
      <c r="BK7" s="774" t="s">
        <v>1906</v>
      </c>
      <c r="BL7" s="774" t="s">
        <v>1424</v>
      </c>
      <c r="BM7" s="765">
        <v>640921</v>
      </c>
      <c r="BN7" s="775" t="s">
        <v>1425</v>
      </c>
      <c r="BO7" s="382" t="s">
        <v>2286</v>
      </c>
      <c r="BP7" s="344"/>
      <c r="BQ7" s="351"/>
      <c r="BR7" s="351"/>
      <c r="BS7" s="343"/>
      <c r="BT7" s="343"/>
    </row>
    <row r="8" spans="1:72" ht="24.95" customHeight="1">
      <c r="A8" s="1154"/>
      <c r="B8" s="1287"/>
      <c r="C8" s="1287"/>
      <c r="D8" s="467" t="s">
        <v>1367</v>
      </c>
      <c r="E8" s="1337" t="str">
        <f>IFERROR(VLOOKUP(E7,BB2:BC821,2,FALSE),"")</f>
        <v/>
      </c>
      <c r="F8" s="1337"/>
      <c r="G8" s="1337"/>
      <c r="H8" s="1337"/>
      <c r="I8" s="1337"/>
      <c r="J8" s="1337"/>
      <c r="K8" s="1337"/>
      <c r="L8" s="1337"/>
      <c r="M8" s="1337"/>
      <c r="N8" s="1337"/>
      <c r="O8" s="1337"/>
      <c r="P8" s="1297" t="s">
        <v>1368</v>
      </c>
      <c r="Q8" s="1298"/>
      <c r="R8" s="1337" t="str">
        <f>IFERROR(VLOOKUP(D4,BI3:BO204,3,FALSE),"")</f>
        <v/>
      </c>
      <c r="S8" s="1337"/>
      <c r="T8" s="1337"/>
      <c r="U8" s="1337"/>
      <c r="V8" s="1337"/>
      <c r="W8" s="1337"/>
      <c r="X8" s="1337"/>
      <c r="Y8" s="1337"/>
      <c r="Z8" s="1338"/>
      <c r="AA8" s="1154"/>
      <c r="AB8" s="1287"/>
      <c r="AC8" s="1287"/>
      <c r="AD8" s="467" t="s">
        <v>1367</v>
      </c>
      <c r="AE8" s="1288" t="s">
        <v>2800</v>
      </c>
      <c r="AF8" s="1288"/>
      <c r="AG8" s="1288"/>
      <c r="AH8" s="1288"/>
      <c r="AI8" s="1288"/>
      <c r="AJ8" s="1288"/>
      <c r="AK8" s="1288"/>
      <c r="AL8" s="1288"/>
      <c r="AM8" s="1288"/>
      <c r="AN8" s="1288"/>
      <c r="AO8" s="1288"/>
      <c r="AP8" s="1297" t="s">
        <v>1368</v>
      </c>
      <c r="AQ8" s="1298"/>
      <c r="AR8" s="1288">
        <v>247</v>
      </c>
      <c r="AS8" s="1288"/>
      <c r="AT8" s="1288"/>
      <c r="AU8" s="1288"/>
      <c r="AV8" s="1288"/>
      <c r="AW8" s="1288"/>
      <c r="AX8" s="1288"/>
      <c r="AY8" s="1288"/>
      <c r="AZ8" s="1289"/>
      <c r="BA8" s="344">
        <v>8</v>
      </c>
      <c r="BB8" s="770">
        <v>600001</v>
      </c>
      <c r="BC8" s="382" t="str">
        <f t="shared" si="0"/>
        <v>札幌市中央区北一条西</v>
      </c>
      <c r="BD8" s="382" t="s">
        <v>571</v>
      </c>
      <c r="BE8" s="82" t="s">
        <v>1355</v>
      </c>
      <c r="BF8" s="82" t="s">
        <v>1835</v>
      </c>
      <c r="BG8" s="1228"/>
      <c r="BH8" s="82">
        <v>6</v>
      </c>
      <c r="BI8" s="776" t="s">
        <v>1428</v>
      </c>
      <c r="BJ8" s="774" t="s">
        <v>1907</v>
      </c>
      <c r="BK8" s="774" t="s">
        <v>1908</v>
      </c>
      <c r="BL8" s="774" t="s">
        <v>1429</v>
      </c>
      <c r="BM8" s="765">
        <v>640821</v>
      </c>
      <c r="BN8" s="766" t="s">
        <v>1427</v>
      </c>
      <c r="BO8" s="382" t="s">
        <v>2287</v>
      </c>
      <c r="BP8" s="344"/>
      <c r="BQ8" s="351"/>
      <c r="BR8" s="352"/>
      <c r="BS8" s="343"/>
      <c r="BT8" s="343"/>
    </row>
    <row r="9" spans="1:72" ht="24.95" customHeight="1">
      <c r="A9" s="1154"/>
      <c r="B9" s="1286" t="s">
        <v>62</v>
      </c>
      <c r="C9" s="1286"/>
      <c r="D9" s="1283" t="str">
        <f>IFERROR(VLOOKUP(D4,BI3:BO204,6,FALSE),"")</f>
        <v/>
      </c>
      <c r="E9" s="1283"/>
      <c r="F9" s="1283"/>
      <c r="G9" s="1283"/>
      <c r="H9" s="1283"/>
      <c r="I9" s="1283"/>
      <c r="J9" s="1283"/>
      <c r="K9" s="1283"/>
      <c r="L9" s="1283"/>
      <c r="M9" s="1283"/>
      <c r="N9" s="1283"/>
      <c r="O9" s="468"/>
      <c r="P9" s="468"/>
      <c r="Q9" s="471"/>
      <c r="R9" s="471"/>
      <c r="S9" s="468"/>
      <c r="T9" s="469"/>
      <c r="U9" s="469"/>
      <c r="V9" s="469"/>
      <c r="W9" s="469"/>
      <c r="X9" s="470"/>
      <c r="Y9" s="469"/>
      <c r="Z9" s="469"/>
      <c r="AA9" s="1154"/>
      <c r="AB9" s="1286" t="s">
        <v>60</v>
      </c>
      <c r="AC9" s="1286"/>
      <c r="AD9" s="1299" t="s">
        <v>2801</v>
      </c>
      <c r="AE9" s="1299"/>
      <c r="AF9" s="1299"/>
      <c r="AG9" s="1299"/>
      <c r="AH9" s="1299"/>
      <c r="AI9" s="1299"/>
      <c r="AJ9" s="1299"/>
      <c r="AK9" s="1299"/>
      <c r="AL9" s="1299"/>
      <c r="AM9" s="1299"/>
      <c r="AN9" s="1299"/>
      <c r="AO9" s="1290"/>
      <c r="AP9" s="1290"/>
      <c r="AQ9" s="1261"/>
      <c r="AR9" s="1261"/>
      <c r="AS9" s="468"/>
      <c r="AT9" s="472" t="b">
        <v>0</v>
      </c>
      <c r="AU9" s="473" t="b">
        <v>0</v>
      </c>
      <c r="AV9" s="473" t="b">
        <v>0</v>
      </c>
      <c r="AW9" s="473" t="b">
        <v>0</v>
      </c>
      <c r="AX9" s="470"/>
      <c r="AY9" s="1292" t="b">
        <v>0</v>
      </c>
      <c r="AZ9" s="1293"/>
      <c r="BA9" s="344">
        <v>9</v>
      </c>
      <c r="BB9" s="770">
        <v>640821</v>
      </c>
      <c r="BC9" s="382" t="str">
        <f t="shared" si="0"/>
        <v>札幌市中央区北一条西</v>
      </c>
      <c r="BD9" s="382" t="s">
        <v>571</v>
      </c>
      <c r="BE9" s="82" t="s">
        <v>1354</v>
      </c>
      <c r="BF9" s="82" t="s">
        <v>402</v>
      </c>
      <c r="BG9" s="1228"/>
      <c r="BH9" s="82">
        <v>7</v>
      </c>
      <c r="BI9" s="776" t="s">
        <v>1431</v>
      </c>
      <c r="BJ9" s="774" t="s">
        <v>1909</v>
      </c>
      <c r="BK9" s="774" t="s">
        <v>1910</v>
      </c>
      <c r="BL9" s="774" t="s">
        <v>1432</v>
      </c>
      <c r="BM9" s="765">
        <v>600062</v>
      </c>
      <c r="BN9" s="766" t="s">
        <v>1430</v>
      </c>
      <c r="BO9" s="382" t="s">
        <v>2288</v>
      </c>
      <c r="BP9" s="344"/>
      <c r="BQ9" s="351"/>
      <c r="BR9" s="351"/>
      <c r="BS9" s="343"/>
      <c r="BT9" s="343"/>
    </row>
    <row r="10" spans="1:72" ht="24.95" customHeight="1">
      <c r="A10" s="1154"/>
      <c r="B10" s="1286" t="s">
        <v>58</v>
      </c>
      <c r="C10" s="1286"/>
      <c r="D10" s="1283" t="str">
        <f>IFERROR(VLOOKUP(D4,BI3:BO204,7,FALSE),"")</f>
        <v/>
      </c>
      <c r="E10" s="1283"/>
      <c r="F10" s="1283"/>
      <c r="G10" s="1283"/>
      <c r="H10" s="1283"/>
      <c r="I10" s="1283"/>
      <c r="J10" s="1283"/>
      <c r="K10" s="1283"/>
      <c r="L10" s="1283"/>
      <c r="M10" s="1283"/>
      <c r="N10" s="1283"/>
      <c r="O10" s="471"/>
      <c r="P10" s="471"/>
      <c r="Q10" s="471"/>
      <c r="R10" s="471"/>
      <c r="S10" s="471"/>
      <c r="T10" s="470"/>
      <c r="U10" s="468"/>
      <c r="V10" s="468"/>
      <c r="W10" s="468"/>
      <c r="X10" s="470"/>
      <c r="Y10" s="1284"/>
      <c r="Z10" s="1285"/>
      <c r="AA10" s="1154"/>
      <c r="AB10" s="1286" t="s">
        <v>58</v>
      </c>
      <c r="AC10" s="1286"/>
      <c r="AD10" s="1299" t="s">
        <v>2802</v>
      </c>
      <c r="AE10" s="1299"/>
      <c r="AF10" s="1299"/>
      <c r="AG10" s="1299"/>
      <c r="AH10" s="1299"/>
      <c r="AI10" s="1299"/>
      <c r="AJ10" s="1299"/>
      <c r="AK10" s="1299"/>
      <c r="AL10" s="1299"/>
      <c r="AM10" s="1299"/>
      <c r="AN10" s="1299"/>
      <c r="AO10" s="471"/>
      <c r="AP10" s="471"/>
      <c r="AQ10" s="471"/>
      <c r="AR10" s="471"/>
      <c r="AS10" s="471"/>
      <c r="AT10" s="470"/>
      <c r="AU10" s="468"/>
      <c r="AV10" s="468"/>
      <c r="AW10" s="468"/>
      <c r="AX10" s="470"/>
      <c r="AY10" s="1284"/>
      <c r="AZ10" s="1285"/>
      <c r="BA10" s="344">
        <v>10</v>
      </c>
      <c r="BB10" s="770">
        <v>600032</v>
      </c>
      <c r="BC10" s="382" t="str">
        <f t="shared" si="0"/>
        <v>札幌市中央区北二条東</v>
      </c>
      <c r="BD10" s="382" t="s">
        <v>571</v>
      </c>
      <c r="BE10" s="82" t="s">
        <v>584</v>
      </c>
      <c r="BF10" s="382"/>
      <c r="BG10" s="1228"/>
      <c r="BH10" s="82">
        <v>8</v>
      </c>
      <c r="BI10" s="778" t="s">
        <v>1434</v>
      </c>
      <c r="BJ10" s="774" t="s">
        <v>1911</v>
      </c>
      <c r="BK10" s="774" t="s">
        <v>1912</v>
      </c>
      <c r="BL10" s="774" t="s">
        <v>1435</v>
      </c>
      <c r="BM10" s="779">
        <v>600008</v>
      </c>
      <c r="BN10" s="766" t="s">
        <v>1433</v>
      </c>
      <c r="BO10" s="382" t="s">
        <v>2289</v>
      </c>
      <c r="BP10" s="344"/>
      <c r="BQ10" s="351"/>
      <c r="BR10" s="351"/>
      <c r="BS10" s="343"/>
      <c r="BT10" s="343"/>
    </row>
    <row r="11" spans="1:72" ht="24.95" customHeight="1">
      <c r="A11" s="1155"/>
      <c r="B11" s="1239" t="s">
        <v>57</v>
      </c>
      <c r="C11" s="1239"/>
      <c r="D11" s="1344"/>
      <c r="E11" s="1344"/>
      <c r="F11" s="1344"/>
      <c r="G11" s="1344"/>
      <c r="H11" s="1344"/>
      <c r="I11" s="1344"/>
      <c r="J11" s="1344"/>
      <c r="K11" s="1344"/>
      <c r="L11" s="1344"/>
      <c r="M11" s="1344"/>
      <c r="N11" s="1344"/>
      <c r="O11" s="1344"/>
      <c r="P11" s="1344"/>
      <c r="Q11" s="1344"/>
      <c r="R11" s="1344"/>
      <c r="S11" s="1344"/>
      <c r="T11" s="1344"/>
      <c r="U11" s="1344"/>
      <c r="V11" s="1344"/>
      <c r="W11" s="1344"/>
      <c r="X11" s="1344"/>
      <c r="Y11" s="1344"/>
      <c r="Z11" s="1345"/>
      <c r="AA11" s="1155"/>
      <c r="AB11" s="1239" t="s">
        <v>56</v>
      </c>
      <c r="AC11" s="1239"/>
      <c r="AD11" s="1237" t="s">
        <v>55</v>
      </c>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8"/>
      <c r="BA11" s="344">
        <v>11</v>
      </c>
      <c r="BB11" s="770">
        <v>600002</v>
      </c>
      <c r="BC11" s="382" t="str">
        <f t="shared" si="0"/>
        <v>札幌市中央区北二条西</v>
      </c>
      <c r="BD11" s="382" t="s">
        <v>571</v>
      </c>
      <c r="BE11" s="82" t="s">
        <v>1353</v>
      </c>
      <c r="BF11" s="382"/>
      <c r="BG11" s="1228"/>
      <c r="BH11" s="82">
        <v>9</v>
      </c>
      <c r="BI11" s="776" t="s">
        <v>1438</v>
      </c>
      <c r="BJ11" s="774" t="s">
        <v>1913</v>
      </c>
      <c r="BK11" s="774" t="s">
        <v>1914</v>
      </c>
      <c r="BL11" s="774" t="s">
        <v>1437</v>
      </c>
      <c r="BM11" s="765">
        <v>640810</v>
      </c>
      <c r="BN11" s="780" t="s">
        <v>1436</v>
      </c>
      <c r="BO11" s="382" t="s">
        <v>2290</v>
      </c>
      <c r="BP11" s="344"/>
      <c r="BQ11" s="351"/>
      <c r="BR11" s="351"/>
      <c r="BS11" s="343"/>
      <c r="BT11" s="343"/>
    </row>
    <row r="12" spans="1:72" ht="20.100000000000001" customHeight="1">
      <c r="A12" s="1376" t="s">
        <v>54</v>
      </c>
      <c r="B12" s="1304"/>
      <c r="C12" s="1305"/>
      <c r="D12" s="1305"/>
      <c r="E12" s="1305"/>
      <c r="F12" s="1305"/>
      <c r="G12" s="1305"/>
      <c r="H12" s="1346" t="s">
        <v>18</v>
      </c>
      <c r="I12" s="1346"/>
      <c r="J12" s="1346"/>
      <c r="K12" s="1347"/>
      <c r="L12" s="1318" t="s">
        <v>53</v>
      </c>
      <c r="M12" s="1349"/>
      <c r="N12" s="1349"/>
      <c r="O12" s="1349"/>
      <c r="P12" s="1349"/>
      <c r="Q12" s="1349"/>
      <c r="R12" s="1349"/>
      <c r="S12" s="1349"/>
      <c r="T12" s="1349"/>
      <c r="U12" s="1350"/>
      <c r="V12" s="1317" t="s">
        <v>52</v>
      </c>
      <c r="W12" s="1318"/>
      <c r="X12" s="1318"/>
      <c r="Y12" s="1318"/>
      <c r="Z12" s="1319"/>
      <c r="AA12" s="1321" t="s">
        <v>54</v>
      </c>
      <c r="AB12" s="1262" t="s">
        <v>2925</v>
      </c>
      <c r="AC12" s="1263"/>
      <c r="AD12" s="1263"/>
      <c r="AE12" s="1263"/>
      <c r="AF12" s="1263"/>
      <c r="AG12" s="1263"/>
      <c r="AH12" s="1245" t="s">
        <v>18</v>
      </c>
      <c r="AI12" s="1245"/>
      <c r="AJ12" s="1245"/>
      <c r="AK12" s="1246"/>
      <c r="AL12" s="1182" t="s">
        <v>53</v>
      </c>
      <c r="AM12" s="1183"/>
      <c r="AN12" s="1183"/>
      <c r="AO12" s="1183"/>
      <c r="AP12" s="1183"/>
      <c r="AQ12" s="1183"/>
      <c r="AR12" s="1183"/>
      <c r="AS12" s="1183"/>
      <c r="AT12" s="1183"/>
      <c r="AU12" s="1184"/>
      <c r="AV12" s="1185" t="s">
        <v>52</v>
      </c>
      <c r="AW12" s="1182"/>
      <c r="AX12" s="1182"/>
      <c r="AY12" s="1182"/>
      <c r="AZ12" s="1186"/>
      <c r="BA12" s="344">
        <v>12</v>
      </c>
      <c r="BB12" s="770">
        <v>640822</v>
      </c>
      <c r="BC12" s="382" t="str">
        <f t="shared" si="0"/>
        <v>札幌市中央区北二条西</v>
      </c>
      <c r="BD12" s="382" t="s">
        <v>571</v>
      </c>
      <c r="BE12" s="82" t="s">
        <v>1353</v>
      </c>
      <c r="BF12" s="382"/>
      <c r="BG12" s="1228"/>
      <c r="BH12" s="82">
        <v>10</v>
      </c>
      <c r="BI12" s="382" t="s">
        <v>1450</v>
      </c>
      <c r="BJ12" s="781" t="s">
        <v>1915</v>
      </c>
      <c r="BK12" s="781" t="s">
        <v>1916</v>
      </c>
      <c r="BL12" s="774" t="s">
        <v>1595</v>
      </c>
      <c r="BM12" s="782" t="s">
        <v>1590</v>
      </c>
      <c r="BN12" s="783" t="s">
        <v>2280</v>
      </c>
      <c r="BO12" s="382" t="s">
        <v>2281</v>
      </c>
      <c r="BP12" s="344"/>
      <c r="BQ12" s="351"/>
      <c r="BR12" s="351"/>
      <c r="BS12" s="343"/>
      <c r="BT12" s="343"/>
    </row>
    <row r="13" spans="1:72" ht="20.100000000000001" customHeight="1">
      <c r="A13" s="1377"/>
      <c r="B13" s="1306"/>
      <c r="C13" s="1307"/>
      <c r="D13" s="1307"/>
      <c r="E13" s="1307"/>
      <c r="F13" s="1307"/>
      <c r="G13" s="1307"/>
      <c r="H13" s="1309"/>
      <c r="I13" s="1309"/>
      <c r="J13" s="1309"/>
      <c r="K13" s="1348"/>
      <c r="L13" s="1361"/>
      <c r="M13" s="1362"/>
      <c r="N13" s="1362"/>
      <c r="O13" s="1309" t="s">
        <v>51</v>
      </c>
      <c r="P13" s="1309"/>
      <c r="Q13" s="1353"/>
      <c r="R13" s="1353"/>
      <c r="S13" s="1309" t="s">
        <v>16</v>
      </c>
      <c r="T13" s="1309"/>
      <c r="U13" s="474"/>
      <c r="V13" s="1314"/>
      <c r="W13" s="1315"/>
      <c r="X13" s="1315"/>
      <c r="Y13" s="1354" t="s">
        <v>16</v>
      </c>
      <c r="Z13" s="1355"/>
      <c r="AA13" s="1360"/>
      <c r="AB13" s="1264"/>
      <c r="AC13" s="1265"/>
      <c r="AD13" s="1265"/>
      <c r="AE13" s="1265"/>
      <c r="AF13" s="1265"/>
      <c r="AG13" s="1265"/>
      <c r="AH13" s="1220"/>
      <c r="AI13" s="1220"/>
      <c r="AJ13" s="1220"/>
      <c r="AK13" s="1188"/>
      <c r="AL13" s="1260">
        <v>1</v>
      </c>
      <c r="AM13" s="1261"/>
      <c r="AN13" s="1261"/>
      <c r="AO13" s="1220" t="s">
        <v>51</v>
      </c>
      <c r="AP13" s="1220"/>
      <c r="AQ13" s="1277">
        <v>2</v>
      </c>
      <c r="AR13" s="1277"/>
      <c r="AS13" s="1220" t="s">
        <v>16</v>
      </c>
      <c r="AT13" s="1220"/>
      <c r="AU13" s="483"/>
      <c r="AV13" s="1240"/>
      <c r="AW13" s="1241"/>
      <c r="AX13" s="1241"/>
      <c r="AY13" s="1256" t="s">
        <v>16</v>
      </c>
      <c r="AZ13" s="1257"/>
      <c r="BA13" s="344">
        <v>13</v>
      </c>
      <c r="BB13" s="770">
        <v>600033</v>
      </c>
      <c r="BC13" s="382" t="str">
        <f t="shared" si="0"/>
        <v>札幌市中央区北三条東</v>
      </c>
      <c r="BD13" s="382" t="s">
        <v>571</v>
      </c>
      <c r="BE13" s="82" t="s">
        <v>585</v>
      </c>
      <c r="BF13" s="382"/>
      <c r="BG13" s="1228"/>
      <c r="BH13" s="82">
        <v>11</v>
      </c>
      <c r="BI13" s="382" t="s">
        <v>1475</v>
      </c>
      <c r="BJ13" s="781" t="s">
        <v>1917</v>
      </c>
      <c r="BK13" s="781" t="s">
        <v>1918</v>
      </c>
      <c r="BL13" s="774" t="s">
        <v>1596</v>
      </c>
      <c r="BM13" s="784" t="s">
        <v>1591</v>
      </c>
      <c r="BN13" s="766" t="s">
        <v>2292</v>
      </c>
      <c r="BO13" s="382" t="s">
        <v>2291</v>
      </c>
      <c r="BP13" s="344"/>
      <c r="BQ13" s="351"/>
      <c r="BR13" s="351"/>
      <c r="BS13" s="343"/>
      <c r="BT13" s="343"/>
    </row>
    <row r="14" spans="1:72" ht="20.100000000000001" customHeight="1">
      <c r="A14" s="1377"/>
      <c r="B14" s="1342" t="s">
        <v>50</v>
      </c>
      <c r="C14" s="1312"/>
      <c r="D14" s="1310"/>
      <c r="E14" s="1308" t="s">
        <v>17</v>
      </c>
      <c r="F14" s="1310"/>
      <c r="G14" s="1310"/>
      <c r="H14" s="1308" t="s">
        <v>16</v>
      </c>
      <c r="I14" s="1308" t="s">
        <v>403</v>
      </c>
      <c r="J14" s="1358"/>
      <c r="K14" s="1357" t="s">
        <v>42</v>
      </c>
      <c r="L14" s="1363" t="s">
        <v>3099</v>
      </c>
      <c r="M14" s="1364"/>
      <c r="N14" s="1364"/>
      <c r="O14" s="1364"/>
      <c r="P14" s="1365"/>
      <c r="Q14" s="1268" t="s">
        <v>2926</v>
      </c>
      <c r="R14" s="1269"/>
      <c r="S14" s="1269"/>
      <c r="T14" s="1269"/>
      <c r="U14" s="1270"/>
      <c r="V14" s="1247" t="s">
        <v>3100</v>
      </c>
      <c r="W14" s="1248"/>
      <c r="X14" s="1248"/>
      <c r="Y14" s="1248"/>
      <c r="Z14" s="1249"/>
      <c r="AA14" s="1360"/>
      <c r="AB14" s="1242" t="s">
        <v>50</v>
      </c>
      <c r="AC14" s="1258" t="s">
        <v>44</v>
      </c>
      <c r="AD14" s="1258"/>
      <c r="AE14" s="1244" t="s">
        <v>17</v>
      </c>
      <c r="AF14" s="1258" t="s">
        <v>2803</v>
      </c>
      <c r="AG14" s="1258"/>
      <c r="AH14" s="1244" t="s">
        <v>16</v>
      </c>
      <c r="AI14" s="1244" t="s">
        <v>49</v>
      </c>
      <c r="AJ14" s="1244" t="s">
        <v>2805</v>
      </c>
      <c r="AK14" s="1187" t="s">
        <v>48</v>
      </c>
      <c r="AL14" s="1190" t="s">
        <v>3099</v>
      </c>
      <c r="AM14" s="1191"/>
      <c r="AN14" s="1191"/>
      <c r="AO14" s="1191"/>
      <c r="AP14" s="1192"/>
      <c r="AQ14" s="1268" t="s">
        <v>2926</v>
      </c>
      <c r="AR14" s="1269"/>
      <c r="AS14" s="1269"/>
      <c r="AT14" s="1269"/>
      <c r="AU14" s="1270"/>
      <c r="AV14" s="1247" t="s">
        <v>3100</v>
      </c>
      <c r="AW14" s="1248"/>
      <c r="AX14" s="1248"/>
      <c r="AY14" s="1248"/>
      <c r="AZ14" s="1249"/>
      <c r="BA14" s="344">
        <v>14</v>
      </c>
      <c r="BB14" s="770">
        <v>600003</v>
      </c>
      <c r="BC14" s="382" t="str">
        <f t="shared" si="0"/>
        <v>札幌市中央区北三条西</v>
      </c>
      <c r="BD14" s="382" t="s">
        <v>571</v>
      </c>
      <c r="BE14" s="82" t="s">
        <v>1352</v>
      </c>
      <c r="BF14" s="382"/>
      <c r="BG14" s="1228"/>
      <c r="BH14" s="82">
        <v>12</v>
      </c>
      <c r="BI14" s="785" t="s">
        <v>1573</v>
      </c>
      <c r="BJ14" s="781" t="s">
        <v>1919</v>
      </c>
      <c r="BK14" s="781" t="s">
        <v>1920</v>
      </c>
      <c r="BL14" s="382" t="s">
        <v>1597</v>
      </c>
      <c r="BM14" s="784" t="s">
        <v>1591</v>
      </c>
      <c r="BN14" s="766" t="s">
        <v>2293</v>
      </c>
      <c r="BO14" s="382" t="s">
        <v>2294</v>
      </c>
      <c r="BP14" s="344"/>
      <c r="BQ14" s="351"/>
      <c r="BR14" s="351"/>
      <c r="BS14" s="343"/>
      <c r="BT14" s="343"/>
    </row>
    <row r="15" spans="1:72" ht="20.100000000000001" customHeight="1">
      <c r="A15" s="1377"/>
      <c r="B15" s="1343"/>
      <c r="C15" s="1313"/>
      <c r="D15" s="1311"/>
      <c r="E15" s="1309"/>
      <c r="F15" s="1311"/>
      <c r="G15" s="1311"/>
      <c r="H15" s="1309"/>
      <c r="I15" s="1309"/>
      <c r="J15" s="1359"/>
      <c r="K15" s="1348"/>
      <c r="L15" s="1366"/>
      <c r="M15" s="1367"/>
      <c r="N15" s="1367"/>
      <c r="O15" s="1367"/>
      <c r="P15" s="1368"/>
      <c r="Q15" s="1271"/>
      <c r="R15" s="1272"/>
      <c r="S15" s="1272"/>
      <c r="T15" s="1272"/>
      <c r="U15" s="1273"/>
      <c r="V15" s="1250"/>
      <c r="W15" s="1251"/>
      <c r="X15" s="1251"/>
      <c r="Y15" s="1251"/>
      <c r="Z15" s="1252"/>
      <c r="AA15" s="1360"/>
      <c r="AB15" s="1243"/>
      <c r="AC15" s="1259"/>
      <c r="AD15" s="1259"/>
      <c r="AE15" s="1220"/>
      <c r="AF15" s="1259"/>
      <c r="AG15" s="1259"/>
      <c r="AH15" s="1220"/>
      <c r="AI15" s="1220"/>
      <c r="AJ15" s="1220"/>
      <c r="AK15" s="1188"/>
      <c r="AL15" s="1193"/>
      <c r="AM15" s="1194"/>
      <c r="AN15" s="1194"/>
      <c r="AO15" s="1194"/>
      <c r="AP15" s="1195"/>
      <c r="AQ15" s="1271"/>
      <c r="AR15" s="1272"/>
      <c r="AS15" s="1272"/>
      <c r="AT15" s="1272"/>
      <c r="AU15" s="1273"/>
      <c r="AV15" s="1250"/>
      <c r="AW15" s="1251"/>
      <c r="AX15" s="1251"/>
      <c r="AY15" s="1251"/>
      <c r="AZ15" s="1252"/>
      <c r="BA15" s="344">
        <v>15</v>
      </c>
      <c r="BB15" s="770">
        <v>640823</v>
      </c>
      <c r="BC15" s="382" t="str">
        <f t="shared" si="0"/>
        <v>札幌市中央区北三条西</v>
      </c>
      <c r="BD15" s="382" t="s">
        <v>571</v>
      </c>
      <c r="BE15" s="82" t="s">
        <v>1351</v>
      </c>
      <c r="BF15" s="382"/>
      <c r="BG15" s="1228"/>
      <c r="BH15" s="82">
        <v>13</v>
      </c>
      <c r="BI15" s="382" t="s">
        <v>1550</v>
      </c>
      <c r="BJ15" s="781" t="s">
        <v>1921</v>
      </c>
      <c r="BK15" s="781" t="s">
        <v>1922</v>
      </c>
      <c r="BL15" s="786" t="s">
        <v>1598</v>
      </c>
      <c r="BM15" s="784" t="s">
        <v>1592</v>
      </c>
      <c r="BN15" s="766" t="s">
        <v>2295</v>
      </c>
      <c r="BO15" s="382" t="s">
        <v>2296</v>
      </c>
      <c r="BP15" s="344"/>
      <c r="BQ15" s="351"/>
      <c r="BR15" s="351"/>
      <c r="BS15" s="343"/>
      <c r="BT15" s="343"/>
    </row>
    <row r="16" spans="1:72" ht="20.100000000000001" customHeight="1">
      <c r="A16" s="1377"/>
      <c r="B16" s="1340" t="s">
        <v>45</v>
      </c>
      <c r="C16" s="1312"/>
      <c r="D16" s="1310"/>
      <c r="E16" s="1308" t="s">
        <v>17</v>
      </c>
      <c r="F16" s="1310"/>
      <c r="G16" s="1310"/>
      <c r="H16" s="1308" t="s">
        <v>16</v>
      </c>
      <c r="I16" s="1308" t="s">
        <v>403</v>
      </c>
      <c r="J16" s="1358"/>
      <c r="K16" s="1357" t="s">
        <v>42</v>
      </c>
      <c r="L16" s="1369"/>
      <c r="M16" s="1370"/>
      <c r="N16" s="1370"/>
      <c r="O16" s="1370"/>
      <c r="P16" s="1371"/>
      <c r="Q16" s="1274"/>
      <c r="R16" s="1275"/>
      <c r="S16" s="1275"/>
      <c r="T16" s="1275"/>
      <c r="U16" s="1276"/>
      <c r="V16" s="1253"/>
      <c r="W16" s="1254"/>
      <c r="X16" s="1254"/>
      <c r="Y16" s="1254"/>
      <c r="Z16" s="1255"/>
      <c r="AA16" s="1360"/>
      <c r="AB16" s="1302" t="s">
        <v>45</v>
      </c>
      <c r="AC16" s="1278" t="s">
        <v>44</v>
      </c>
      <c r="AD16" s="1278"/>
      <c r="AE16" s="1219" t="s">
        <v>17</v>
      </c>
      <c r="AF16" s="1278" t="s">
        <v>2804</v>
      </c>
      <c r="AG16" s="1278"/>
      <c r="AH16" s="1219" t="s">
        <v>16</v>
      </c>
      <c r="AI16" s="1219" t="s">
        <v>43</v>
      </c>
      <c r="AJ16" s="1219" t="s">
        <v>2806</v>
      </c>
      <c r="AK16" s="1225" t="s">
        <v>42</v>
      </c>
      <c r="AL16" s="1196"/>
      <c r="AM16" s="1197"/>
      <c r="AN16" s="1197"/>
      <c r="AO16" s="1197"/>
      <c r="AP16" s="1198"/>
      <c r="AQ16" s="1274"/>
      <c r="AR16" s="1275"/>
      <c r="AS16" s="1275"/>
      <c r="AT16" s="1275"/>
      <c r="AU16" s="1276"/>
      <c r="AV16" s="1253"/>
      <c r="AW16" s="1254"/>
      <c r="AX16" s="1254"/>
      <c r="AY16" s="1254"/>
      <c r="AZ16" s="1255"/>
      <c r="BA16" s="344">
        <v>16</v>
      </c>
      <c r="BB16" s="770">
        <v>600034</v>
      </c>
      <c r="BC16" s="382" t="str">
        <f t="shared" si="0"/>
        <v>札幌市中央区北四条東</v>
      </c>
      <c r="BD16" s="382" t="s">
        <v>571</v>
      </c>
      <c r="BE16" s="82" t="s">
        <v>1325</v>
      </c>
      <c r="BF16" s="382"/>
      <c r="BG16" s="1228"/>
      <c r="BH16" s="82">
        <v>14</v>
      </c>
      <c r="BI16" s="382" t="s">
        <v>1582</v>
      </c>
      <c r="BJ16" s="781" t="s">
        <v>1923</v>
      </c>
      <c r="BK16" s="781" t="s">
        <v>1924</v>
      </c>
      <c r="BL16" s="786" t="s">
        <v>1599</v>
      </c>
      <c r="BM16" s="784" t="s">
        <v>1593</v>
      </c>
      <c r="BN16" s="766" t="s">
        <v>2297</v>
      </c>
      <c r="BO16" s="382" t="s">
        <v>2298</v>
      </c>
      <c r="BP16" s="344"/>
      <c r="BQ16" s="351"/>
      <c r="BR16" s="351"/>
      <c r="BS16" s="343"/>
      <c r="BT16" s="343"/>
    </row>
    <row r="17" spans="1:70" s="4" customFormat="1" ht="20.100000000000001" customHeight="1">
      <c r="A17" s="1377"/>
      <c r="B17" s="1341"/>
      <c r="C17" s="1313"/>
      <c r="D17" s="1311"/>
      <c r="E17" s="1309"/>
      <c r="F17" s="1311"/>
      <c r="G17" s="1311"/>
      <c r="H17" s="1309"/>
      <c r="I17" s="1309"/>
      <c r="J17" s="1359"/>
      <c r="K17" s="1348"/>
      <c r="L17" s="1372" t="s">
        <v>1889</v>
      </c>
      <c r="M17" s="1373"/>
      <c r="N17" s="1373"/>
      <c r="O17" s="1373"/>
      <c r="P17" s="1373"/>
      <c r="Q17" s="1373"/>
      <c r="R17" s="1373"/>
      <c r="S17" s="1373"/>
      <c r="T17" s="1316"/>
      <c r="U17" s="1316"/>
      <c r="V17" s="475" t="s">
        <v>39</v>
      </c>
      <c r="W17" s="475" t="s">
        <v>40</v>
      </c>
      <c r="X17" s="1316"/>
      <c r="Y17" s="1316"/>
      <c r="Z17" s="476" t="s">
        <v>39</v>
      </c>
      <c r="AA17" s="1360"/>
      <c r="AB17" s="1303"/>
      <c r="AC17" s="1259"/>
      <c r="AD17" s="1259"/>
      <c r="AE17" s="1220"/>
      <c r="AF17" s="1259"/>
      <c r="AG17" s="1259"/>
      <c r="AH17" s="1220"/>
      <c r="AI17" s="1220"/>
      <c r="AJ17" s="1220"/>
      <c r="AK17" s="1188"/>
      <c r="AL17" s="484"/>
      <c r="AM17" s="1218" t="s">
        <v>41</v>
      </c>
      <c r="AN17" s="1218"/>
      <c r="AO17" s="1218"/>
      <c r="AP17" s="1218"/>
      <c r="AQ17" s="1218"/>
      <c r="AR17" s="1218"/>
      <c r="AS17" s="1218"/>
      <c r="AT17" s="1218"/>
      <c r="AU17" s="1218"/>
      <c r="AV17" s="485" t="s">
        <v>39</v>
      </c>
      <c r="AW17" s="485" t="s">
        <v>40</v>
      </c>
      <c r="AX17" s="1218"/>
      <c r="AY17" s="1218"/>
      <c r="AZ17" s="486" t="s">
        <v>39</v>
      </c>
      <c r="BA17" s="344">
        <v>17</v>
      </c>
      <c r="BB17" s="770">
        <v>600004</v>
      </c>
      <c r="BC17" s="382" t="str">
        <f t="shared" si="0"/>
        <v>札幌市中央区北四条西</v>
      </c>
      <c r="BD17" s="382" t="s">
        <v>571</v>
      </c>
      <c r="BE17" s="82" t="s">
        <v>1350</v>
      </c>
      <c r="BF17" s="88"/>
      <c r="BG17" s="1228"/>
      <c r="BH17" s="82">
        <v>15</v>
      </c>
      <c r="BI17" s="382" t="s">
        <v>1477</v>
      </c>
      <c r="BJ17" s="781" t="s">
        <v>1925</v>
      </c>
      <c r="BK17" s="781" t="s">
        <v>1926</v>
      </c>
      <c r="BL17" s="786" t="s">
        <v>1600</v>
      </c>
      <c r="BM17" s="784" t="s">
        <v>1594</v>
      </c>
      <c r="BN17" s="787" t="s">
        <v>2299</v>
      </c>
      <c r="BO17" s="776" t="s">
        <v>2300</v>
      </c>
      <c r="BQ17" s="351"/>
      <c r="BR17" s="351"/>
    </row>
    <row r="18" spans="1:70" s="4" customFormat="1" ht="20.100000000000001" customHeight="1">
      <c r="A18" s="1154" t="s">
        <v>38</v>
      </c>
      <c r="B18" s="1387"/>
      <c r="C18" s="1387"/>
      <c r="D18" s="1387"/>
      <c r="E18" s="1201" t="s">
        <v>37</v>
      </c>
      <c r="F18" s="1202"/>
      <c r="G18" s="1205" t="s">
        <v>36</v>
      </c>
      <c r="H18" s="1205"/>
      <c r="I18" s="1205"/>
      <c r="J18" s="1205"/>
      <c r="K18" s="1206" t="s">
        <v>2987</v>
      </c>
      <c r="L18" s="1206"/>
      <c r="M18" s="1206"/>
      <c r="N18" s="1389"/>
      <c r="O18" s="1389"/>
      <c r="P18" s="477" t="s">
        <v>32</v>
      </c>
      <c r="Q18" s="1300" t="s">
        <v>35</v>
      </c>
      <c r="R18" s="1166"/>
      <c r="S18" s="1166"/>
      <c r="T18" s="1166"/>
      <c r="U18" s="1166"/>
      <c r="V18" s="1166"/>
      <c r="W18" s="1281" t="s">
        <v>1891</v>
      </c>
      <c r="X18" s="1281"/>
      <c r="Y18" s="1281"/>
      <c r="Z18" s="1282"/>
      <c r="AA18" s="1154" t="s">
        <v>38</v>
      </c>
      <c r="AB18" s="1226">
        <v>111</v>
      </c>
      <c r="AC18" s="1226"/>
      <c r="AD18" s="1226"/>
      <c r="AE18" s="1201" t="s">
        <v>37</v>
      </c>
      <c r="AF18" s="1202"/>
      <c r="AG18" s="1205" t="s">
        <v>36</v>
      </c>
      <c r="AH18" s="1205"/>
      <c r="AI18" s="1205"/>
      <c r="AJ18" s="1205"/>
      <c r="AK18" s="1206" t="s">
        <v>2993</v>
      </c>
      <c r="AL18" s="1206"/>
      <c r="AM18" s="1206"/>
      <c r="AN18" s="1207">
        <v>6</v>
      </c>
      <c r="AO18" s="1207"/>
      <c r="AP18" s="477" t="s">
        <v>32</v>
      </c>
      <c r="AQ18" s="1300" t="s">
        <v>35</v>
      </c>
      <c r="AR18" s="1166"/>
      <c r="AS18" s="1166"/>
      <c r="AT18" s="1166"/>
      <c r="AU18" s="1166"/>
      <c r="AV18" s="1166"/>
      <c r="AW18" s="487"/>
      <c r="AX18" s="1177" t="s">
        <v>34</v>
      </c>
      <c r="AY18" s="1177"/>
      <c r="AZ18" s="1210"/>
      <c r="BA18" s="344">
        <v>18</v>
      </c>
      <c r="BB18" s="770">
        <v>640825</v>
      </c>
      <c r="BC18" s="382" t="str">
        <f t="shared" si="0"/>
        <v>札幌市中央区北五条西</v>
      </c>
      <c r="BD18" s="382" t="s">
        <v>571</v>
      </c>
      <c r="BE18" s="82" t="s">
        <v>1349</v>
      </c>
      <c r="BF18" s="88"/>
      <c r="BG18" s="1228"/>
      <c r="BH18" s="82">
        <v>19</v>
      </c>
      <c r="BI18" s="382" t="s">
        <v>1581</v>
      </c>
      <c r="BJ18" s="382" t="s">
        <v>1928</v>
      </c>
      <c r="BK18" s="382" t="s">
        <v>1929</v>
      </c>
      <c r="BL18" s="786" t="s">
        <v>1602</v>
      </c>
      <c r="BM18" s="765">
        <v>630001</v>
      </c>
      <c r="BN18" s="764" t="s">
        <v>2361</v>
      </c>
      <c r="BO18" s="764" t="s">
        <v>2362</v>
      </c>
    </row>
    <row r="19" spans="1:70" s="4" customFormat="1" ht="20.100000000000001" customHeight="1">
      <c r="A19" s="1155"/>
      <c r="B19" s="1388"/>
      <c r="C19" s="1388"/>
      <c r="D19" s="1388"/>
      <c r="E19" s="1203"/>
      <c r="F19" s="1204"/>
      <c r="G19" s="1211" t="s">
        <v>33</v>
      </c>
      <c r="H19" s="1211"/>
      <c r="I19" s="1211"/>
      <c r="J19" s="1211"/>
      <c r="K19" s="1212" t="s">
        <v>2988</v>
      </c>
      <c r="L19" s="1212"/>
      <c r="M19" s="1212"/>
      <c r="N19" s="1390"/>
      <c r="O19" s="1390"/>
      <c r="P19" s="478" t="s">
        <v>32</v>
      </c>
      <c r="Q19" s="1301"/>
      <c r="R19" s="1211"/>
      <c r="S19" s="1211"/>
      <c r="T19" s="1211"/>
      <c r="U19" s="1211"/>
      <c r="V19" s="1211"/>
      <c r="W19" s="1279" t="s">
        <v>1890</v>
      </c>
      <c r="X19" s="1279"/>
      <c r="Y19" s="1279"/>
      <c r="Z19" s="1280"/>
      <c r="AA19" s="1155"/>
      <c r="AB19" s="1227"/>
      <c r="AC19" s="1227"/>
      <c r="AD19" s="1227"/>
      <c r="AE19" s="1203"/>
      <c r="AF19" s="1204"/>
      <c r="AG19" s="1211" t="s">
        <v>33</v>
      </c>
      <c r="AH19" s="1211"/>
      <c r="AI19" s="1211"/>
      <c r="AJ19" s="1211"/>
      <c r="AK19" s="1212" t="s">
        <v>2994</v>
      </c>
      <c r="AL19" s="1212"/>
      <c r="AM19" s="1212"/>
      <c r="AN19" s="1189">
        <v>2</v>
      </c>
      <c r="AO19" s="1189"/>
      <c r="AP19" s="478" t="s">
        <v>32</v>
      </c>
      <c r="AQ19" s="1301"/>
      <c r="AR19" s="1211"/>
      <c r="AS19" s="1211"/>
      <c r="AT19" s="1211"/>
      <c r="AU19" s="1211"/>
      <c r="AV19" s="1211"/>
      <c r="AW19" s="488"/>
      <c r="AX19" s="1208" t="s">
        <v>31</v>
      </c>
      <c r="AY19" s="1208"/>
      <c r="AZ19" s="1209"/>
      <c r="BA19" s="344">
        <v>19</v>
      </c>
      <c r="BB19" s="770">
        <v>600006</v>
      </c>
      <c r="BC19" s="382" t="str">
        <f t="shared" si="0"/>
        <v>札幌市中央区北六条西</v>
      </c>
      <c r="BD19" s="382" t="s">
        <v>571</v>
      </c>
      <c r="BE19" s="82" t="s">
        <v>1348</v>
      </c>
      <c r="BF19" s="88"/>
      <c r="BG19" s="1228"/>
      <c r="BH19" s="82">
        <v>20</v>
      </c>
      <c r="BI19" s="382" t="s">
        <v>1580</v>
      </c>
      <c r="BJ19" s="382" t="s">
        <v>1930</v>
      </c>
      <c r="BK19" s="382" t="s">
        <v>1931</v>
      </c>
      <c r="BL19" s="786" t="s">
        <v>1603</v>
      </c>
      <c r="BM19" s="765">
        <v>630005</v>
      </c>
      <c r="BN19" s="764" t="s">
        <v>2337</v>
      </c>
      <c r="BO19" s="764" t="s">
        <v>2338</v>
      </c>
    </row>
    <row r="20" spans="1:70" s="4" customFormat="1" ht="21" customHeight="1">
      <c r="A20" s="1199" t="s">
        <v>30</v>
      </c>
      <c r="B20" s="479"/>
      <c r="C20" s="1229" t="s">
        <v>29</v>
      </c>
      <c r="D20" s="1229"/>
      <c r="E20" s="1229"/>
      <c r="F20" s="1229"/>
      <c r="G20" s="1385" t="s">
        <v>1836</v>
      </c>
      <c r="H20" s="1385"/>
      <c r="I20" s="1385"/>
      <c r="J20" s="1385"/>
      <c r="K20" s="1385"/>
      <c r="L20" s="1385"/>
      <c r="M20" s="1385"/>
      <c r="N20" s="1386"/>
      <c r="O20" s="1168" t="s">
        <v>2995</v>
      </c>
      <c r="P20" s="1169"/>
      <c r="Q20" s="1169"/>
      <c r="R20" s="1169"/>
      <c r="S20" s="1169"/>
      <c r="T20" s="1169"/>
      <c r="U20" s="1169"/>
      <c r="V20" s="1169"/>
      <c r="W20" s="1169"/>
      <c r="X20" s="1169"/>
      <c r="Y20" s="1169"/>
      <c r="Z20" s="1170"/>
      <c r="AA20" s="1199" t="s">
        <v>30</v>
      </c>
      <c r="AB20" s="489"/>
      <c r="AC20" s="1229" t="s">
        <v>29</v>
      </c>
      <c r="AD20" s="1229"/>
      <c r="AE20" s="1229"/>
      <c r="AF20" s="1229"/>
      <c r="AG20" s="1223" t="s">
        <v>1836</v>
      </c>
      <c r="AH20" s="1223"/>
      <c r="AI20" s="1223"/>
      <c r="AJ20" s="1223"/>
      <c r="AK20" s="1223"/>
      <c r="AL20" s="1223"/>
      <c r="AM20" s="1223"/>
      <c r="AN20" s="1224" t="b">
        <v>0</v>
      </c>
      <c r="AO20" s="1168" t="s">
        <v>2995</v>
      </c>
      <c r="AP20" s="1169"/>
      <c r="AQ20" s="1169"/>
      <c r="AR20" s="1169"/>
      <c r="AS20" s="1169"/>
      <c r="AT20" s="1169"/>
      <c r="AU20" s="1169"/>
      <c r="AV20" s="1169"/>
      <c r="AW20" s="1169"/>
      <c r="AX20" s="1169"/>
      <c r="AY20" s="1169"/>
      <c r="AZ20" s="1170"/>
      <c r="BA20" s="344">
        <v>20</v>
      </c>
      <c r="BB20" s="770">
        <v>640826</v>
      </c>
      <c r="BC20" s="382" t="str">
        <f t="shared" si="0"/>
        <v>札幌市中央区北六条西</v>
      </c>
      <c r="BD20" s="382" t="s">
        <v>571</v>
      </c>
      <c r="BE20" s="82" t="s">
        <v>1348</v>
      </c>
      <c r="BF20" s="88"/>
      <c r="BG20" s="1228"/>
      <c r="BH20" s="82">
        <v>21</v>
      </c>
      <c r="BI20" s="382" t="s">
        <v>1588</v>
      </c>
      <c r="BJ20" s="382" t="s">
        <v>1932</v>
      </c>
      <c r="BK20" s="382" t="s">
        <v>1933</v>
      </c>
      <c r="BL20" s="786" t="s">
        <v>1604</v>
      </c>
      <c r="BM20" s="765">
        <v>630005</v>
      </c>
      <c r="BN20" s="789"/>
      <c r="BO20" s="88"/>
    </row>
    <row r="21" spans="1:70" s="4" customFormat="1" ht="21" customHeight="1">
      <c r="A21" s="1199"/>
      <c r="B21" s="480"/>
      <c r="C21" s="1177" t="s">
        <v>28</v>
      </c>
      <c r="D21" s="1177"/>
      <c r="E21" s="1177"/>
      <c r="F21" s="1177"/>
      <c r="G21" s="1177"/>
      <c r="H21" s="1177"/>
      <c r="I21" s="1177"/>
      <c r="J21" s="1177"/>
      <c r="K21" s="1177"/>
      <c r="L21" s="1177"/>
      <c r="M21" s="1177"/>
      <c r="N21" s="1178"/>
      <c r="O21" s="1171"/>
      <c r="P21" s="1172"/>
      <c r="Q21" s="1172"/>
      <c r="R21" s="1172"/>
      <c r="S21" s="1172"/>
      <c r="T21" s="1172"/>
      <c r="U21" s="1172"/>
      <c r="V21" s="1172"/>
      <c r="W21" s="1172"/>
      <c r="X21" s="1172"/>
      <c r="Y21" s="1172"/>
      <c r="Z21" s="1173"/>
      <c r="AA21" s="1199"/>
      <c r="AB21" s="490"/>
      <c r="AC21" s="1177" t="s">
        <v>28</v>
      </c>
      <c r="AD21" s="1177"/>
      <c r="AE21" s="1177"/>
      <c r="AF21" s="1177"/>
      <c r="AG21" s="1177"/>
      <c r="AH21" s="1177"/>
      <c r="AI21" s="1177"/>
      <c r="AJ21" s="1177"/>
      <c r="AK21" s="1177"/>
      <c r="AL21" s="1177"/>
      <c r="AM21" s="1177"/>
      <c r="AN21" s="1178"/>
      <c r="AO21" s="1171"/>
      <c r="AP21" s="1172"/>
      <c r="AQ21" s="1172"/>
      <c r="AR21" s="1172"/>
      <c r="AS21" s="1172"/>
      <c r="AT21" s="1172"/>
      <c r="AU21" s="1172"/>
      <c r="AV21" s="1172"/>
      <c r="AW21" s="1172"/>
      <c r="AX21" s="1172"/>
      <c r="AY21" s="1172"/>
      <c r="AZ21" s="1173"/>
      <c r="BA21" s="344">
        <v>21</v>
      </c>
      <c r="BB21" s="770">
        <v>600007</v>
      </c>
      <c r="BC21" s="382" t="str">
        <f t="shared" si="0"/>
        <v>札幌市中央区北七条西</v>
      </c>
      <c r="BD21" s="382" t="s">
        <v>571</v>
      </c>
      <c r="BE21" s="82" t="s">
        <v>586</v>
      </c>
      <c r="BF21" s="88"/>
      <c r="BG21" s="1228"/>
      <c r="BH21" s="82">
        <v>22</v>
      </c>
      <c r="BI21" s="382" t="s">
        <v>1491</v>
      </c>
      <c r="BJ21" s="382" t="s">
        <v>1934</v>
      </c>
      <c r="BK21" s="382" t="s">
        <v>1935</v>
      </c>
      <c r="BL21" s="786" t="s">
        <v>1605</v>
      </c>
      <c r="BM21" s="765">
        <v>630031</v>
      </c>
      <c r="BN21" s="764" t="s">
        <v>2363</v>
      </c>
      <c r="BO21" s="764" t="s">
        <v>2364</v>
      </c>
    </row>
    <row r="22" spans="1:70" s="4" customFormat="1" ht="21" customHeight="1">
      <c r="A22" s="1199"/>
      <c r="B22" s="480"/>
      <c r="C22" s="1177" t="s">
        <v>27</v>
      </c>
      <c r="D22" s="1177"/>
      <c r="E22" s="1177"/>
      <c r="F22" s="1177"/>
      <c r="G22" s="1177"/>
      <c r="H22" s="1177"/>
      <c r="I22" s="1177"/>
      <c r="J22" s="1177"/>
      <c r="K22" s="1177"/>
      <c r="L22" s="1177"/>
      <c r="M22" s="1177"/>
      <c r="N22" s="1178"/>
      <c r="O22" s="1171"/>
      <c r="P22" s="1172"/>
      <c r="Q22" s="1172"/>
      <c r="R22" s="1172"/>
      <c r="S22" s="1172"/>
      <c r="T22" s="1172"/>
      <c r="U22" s="1172"/>
      <c r="V22" s="1172"/>
      <c r="W22" s="1172"/>
      <c r="X22" s="1172"/>
      <c r="Y22" s="1172"/>
      <c r="Z22" s="1173"/>
      <c r="AA22" s="1199"/>
      <c r="AB22" s="490"/>
      <c r="AC22" s="1177" t="s">
        <v>27</v>
      </c>
      <c r="AD22" s="1177"/>
      <c r="AE22" s="1177"/>
      <c r="AF22" s="1177"/>
      <c r="AG22" s="1177"/>
      <c r="AH22" s="1177"/>
      <c r="AI22" s="1177"/>
      <c r="AJ22" s="1177"/>
      <c r="AK22" s="1177"/>
      <c r="AL22" s="1177"/>
      <c r="AM22" s="1177"/>
      <c r="AN22" s="1178"/>
      <c r="AO22" s="1171"/>
      <c r="AP22" s="1172"/>
      <c r="AQ22" s="1172"/>
      <c r="AR22" s="1172"/>
      <c r="AS22" s="1172"/>
      <c r="AT22" s="1172"/>
      <c r="AU22" s="1172"/>
      <c r="AV22" s="1172"/>
      <c r="AW22" s="1172"/>
      <c r="AX22" s="1172"/>
      <c r="AY22" s="1172"/>
      <c r="AZ22" s="1173"/>
      <c r="BA22" s="344">
        <v>22</v>
      </c>
      <c r="BB22" s="770">
        <v>600008</v>
      </c>
      <c r="BC22" s="382" t="str">
        <f t="shared" si="0"/>
        <v>札幌市中央区北八条西</v>
      </c>
      <c r="BD22" s="382" t="s">
        <v>571</v>
      </c>
      <c r="BE22" s="82" t="s">
        <v>587</v>
      </c>
      <c r="BF22" s="88"/>
      <c r="BG22" s="1228"/>
      <c r="BH22" s="82">
        <v>23</v>
      </c>
      <c r="BI22" s="785" t="s">
        <v>1499</v>
      </c>
      <c r="BJ22" s="382" t="s">
        <v>1936</v>
      </c>
      <c r="BK22" s="382" t="s">
        <v>1937</v>
      </c>
      <c r="BL22" s="786" t="s">
        <v>1606</v>
      </c>
      <c r="BM22" s="765">
        <v>630034</v>
      </c>
      <c r="BN22" s="764" t="s">
        <v>2339</v>
      </c>
      <c r="BO22" s="764" t="s">
        <v>2340</v>
      </c>
    </row>
    <row r="23" spans="1:70" s="4" customFormat="1" ht="21" customHeight="1">
      <c r="A23" s="1199"/>
      <c r="B23" s="479"/>
      <c r="C23" s="1177" t="s">
        <v>26</v>
      </c>
      <c r="D23" s="1177"/>
      <c r="E23" s="1177"/>
      <c r="F23" s="1177"/>
      <c r="G23" s="1177"/>
      <c r="H23" s="1177"/>
      <c r="I23" s="1177"/>
      <c r="J23" s="1177"/>
      <c r="K23" s="1177"/>
      <c r="L23" s="1177"/>
      <c r="M23" s="1177"/>
      <c r="N23" s="1178"/>
      <c r="O23" s="1171"/>
      <c r="P23" s="1172"/>
      <c r="Q23" s="1172"/>
      <c r="R23" s="1172"/>
      <c r="S23" s="1172"/>
      <c r="T23" s="1172"/>
      <c r="U23" s="1172"/>
      <c r="V23" s="1172"/>
      <c r="W23" s="1172"/>
      <c r="X23" s="1172"/>
      <c r="Y23" s="1172"/>
      <c r="Z23" s="1173"/>
      <c r="AA23" s="1199"/>
      <c r="AB23" s="489"/>
      <c r="AC23" s="1177" t="s">
        <v>26</v>
      </c>
      <c r="AD23" s="1177"/>
      <c r="AE23" s="1177"/>
      <c r="AF23" s="1177"/>
      <c r="AG23" s="1177"/>
      <c r="AH23" s="1177"/>
      <c r="AI23" s="1177"/>
      <c r="AJ23" s="1177"/>
      <c r="AK23" s="1177"/>
      <c r="AL23" s="1177"/>
      <c r="AM23" s="1177"/>
      <c r="AN23" s="1178"/>
      <c r="AO23" s="1171"/>
      <c r="AP23" s="1172"/>
      <c r="AQ23" s="1172"/>
      <c r="AR23" s="1172"/>
      <c r="AS23" s="1172"/>
      <c r="AT23" s="1172"/>
      <c r="AU23" s="1172"/>
      <c r="AV23" s="1172"/>
      <c r="AW23" s="1172"/>
      <c r="AX23" s="1172"/>
      <c r="AY23" s="1172"/>
      <c r="AZ23" s="1173"/>
      <c r="BA23" s="344">
        <v>23</v>
      </c>
      <c r="BB23" s="770">
        <v>600009</v>
      </c>
      <c r="BC23" s="382" t="str">
        <f t="shared" si="0"/>
        <v>札幌市中央区北九条西</v>
      </c>
      <c r="BD23" s="382" t="s">
        <v>571</v>
      </c>
      <c r="BE23" s="82" t="s">
        <v>588</v>
      </c>
      <c r="BF23" s="88"/>
      <c r="BG23" s="1228"/>
      <c r="BH23" s="82">
        <v>24</v>
      </c>
      <c r="BI23" s="382" t="s">
        <v>1518</v>
      </c>
      <c r="BJ23" s="382" t="s">
        <v>1938</v>
      </c>
      <c r="BK23" s="382" t="s">
        <v>1939</v>
      </c>
      <c r="BL23" s="786" t="s">
        <v>1607</v>
      </c>
      <c r="BM23" s="765">
        <v>630038</v>
      </c>
      <c r="BN23" s="764" t="s">
        <v>2351</v>
      </c>
      <c r="BO23" s="764" t="s">
        <v>2352</v>
      </c>
    </row>
    <row r="24" spans="1:70" s="4" customFormat="1" ht="21" customHeight="1">
      <c r="A24" s="1199"/>
      <c r="B24" s="481"/>
      <c r="C24" s="1177" t="s">
        <v>25</v>
      </c>
      <c r="D24" s="1177"/>
      <c r="E24" s="1177"/>
      <c r="F24" s="1177"/>
      <c r="G24" s="1177"/>
      <c r="H24" s="1177"/>
      <c r="I24" s="1177"/>
      <c r="J24" s="1177"/>
      <c r="K24" s="1177"/>
      <c r="L24" s="1177"/>
      <c r="M24" s="1177"/>
      <c r="N24" s="1178"/>
      <c r="O24" s="1171"/>
      <c r="P24" s="1172"/>
      <c r="Q24" s="1172"/>
      <c r="R24" s="1172"/>
      <c r="S24" s="1172"/>
      <c r="T24" s="1172"/>
      <c r="U24" s="1172"/>
      <c r="V24" s="1172"/>
      <c r="W24" s="1172"/>
      <c r="X24" s="1172"/>
      <c r="Y24" s="1172"/>
      <c r="Z24" s="1173"/>
      <c r="AA24" s="1199"/>
      <c r="AB24" s="491"/>
      <c r="AC24" s="1177" t="s">
        <v>25</v>
      </c>
      <c r="AD24" s="1177"/>
      <c r="AE24" s="1177"/>
      <c r="AF24" s="1177"/>
      <c r="AG24" s="1177"/>
      <c r="AH24" s="1177"/>
      <c r="AI24" s="1177"/>
      <c r="AJ24" s="1177"/>
      <c r="AK24" s="1177"/>
      <c r="AL24" s="1177"/>
      <c r="AM24" s="1177"/>
      <c r="AN24" s="1178"/>
      <c r="AO24" s="1171"/>
      <c r="AP24" s="1172"/>
      <c r="AQ24" s="1172"/>
      <c r="AR24" s="1172"/>
      <c r="AS24" s="1172"/>
      <c r="AT24" s="1172"/>
      <c r="AU24" s="1172"/>
      <c r="AV24" s="1172"/>
      <c r="AW24" s="1172"/>
      <c r="AX24" s="1172"/>
      <c r="AY24" s="1172"/>
      <c r="AZ24" s="1173"/>
      <c r="BA24" s="344">
        <v>24</v>
      </c>
      <c r="BB24" s="770">
        <v>600010</v>
      </c>
      <c r="BC24" s="382" t="str">
        <f t="shared" si="0"/>
        <v>札幌市中央区北十条西</v>
      </c>
      <c r="BD24" s="382" t="s">
        <v>571</v>
      </c>
      <c r="BE24" s="82" t="s">
        <v>589</v>
      </c>
      <c r="BF24" s="88"/>
      <c r="BG24" s="1228"/>
      <c r="BH24" s="82">
        <v>25</v>
      </c>
      <c r="BI24" s="382" t="s">
        <v>1519</v>
      </c>
      <c r="BJ24" s="382" t="s">
        <v>1938</v>
      </c>
      <c r="BK24" s="382" t="s">
        <v>1940</v>
      </c>
      <c r="BL24" s="786" t="s">
        <v>1608</v>
      </c>
      <c r="BM24" s="765">
        <v>630038</v>
      </c>
      <c r="BN24" s="764" t="s">
        <v>2355</v>
      </c>
      <c r="BO24" s="764" t="s">
        <v>2356</v>
      </c>
    </row>
    <row r="25" spans="1:70" s="4" customFormat="1" ht="21" customHeight="1">
      <c r="A25" s="1199"/>
      <c r="B25" s="481"/>
      <c r="C25" s="1177" t="s">
        <v>24</v>
      </c>
      <c r="D25" s="1177"/>
      <c r="E25" s="1177"/>
      <c r="F25" s="1177"/>
      <c r="G25" s="1177"/>
      <c r="H25" s="1177"/>
      <c r="I25" s="1177"/>
      <c r="J25" s="1177"/>
      <c r="K25" s="1177"/>
      <c r="L25" s="1177"/>
      <c r="M25" s="1177"/>
      <c r="N25" s="1178"/>
      <c r="O25" s="1171"/>
      <c r="P25" s="1172"/>
      <c r="Q25" s="1172"/>
      <c r="R25" s="1172"/>
      <c r="S25" s="1172"/>
      <c r="T25" s="1172"/>
      <c r="U25" s="1172"/>
      <c r="V25" s="1172"/>
      <c r="W25" s="1172"/>
      <c r="X25" s="1172"/>
      <c r="Y25" s="1172"/>
      <c r="Z25" s="1173"/>
      <c r="AA25" s="1199"/>
      <c r="AB25" s="491"/>
      <c r="AC25" s="1177" t="s">
        <v>24</v>
      </c>
      <c r="AD25" s="1177"/>
      <c r="AE25" s="1177"/>
      <c r="AF25" s="1177"/>
      <c r="AG25" s="1177"/>
      <c r="AH25" s="1177"/>
      <c r="AI25" s="1177"/>
      <c r="AJ25" s="1177"/>
      <c r="AK25" s="1177"/>
      <c r="AL25" s="1177"/>
      <c r="AM25" s="1177"/>
      <c r="AN25" s="1178"/>
      <c r="AO25" s="1171"/>
      <c r="AP25" s="1172"/>
      <c r="AQ25" s="1172"/>
      <c r="AR25" s="1172"/>
      <c r="AS25" s="1172"/>
      <c r="AT25" s="1172"/>
      <c r="AU25" s="1172"/>
      <c r="AV25" s="1172"/>
      <c r="AW25" s="1172"/>
      <c r="AX25" s="1172"/>
      <c r="AY25" s="1172"/>
      <c r="AZ25" s="1173"/>
      <c r="BA25" s="344">
        <v>25</v>
      </c>
      <c r="BB25" s="770">
        <v>600011</v>
      </c>
      <c r="BC25" s="382" t="str">
        <f t="shared" si="0"/>
        <v>札幌市中央区北十一条西</v>
      </c>
      <c r="BD25" s="382" t="s">
        <v>571</v>
      </c>
      <c r="BE25" s="82" t="s">
        <v>590</v>
      </c>
      <c r="BF25" s="88"/>
      <c r="BG25" s="1228"/>
      <c r="BH25" s="82">
        <v>26</v>
      </c>
      <c r="BI25" s="382" t="s">
        <v>1520</v>
      </c>
      <c r="BJ25" s="382" t="s">
        <v>1941</v>
      </c>
      <c r="BK25" s="382" t="s">
        <v>1942</v>
      </c>
      <c r="BL25" s="786" t="s">
        <v>1609</v>
      </c>
      <c r="BM25" s="765">
        <v>630802</v>
      </c>
      <c r="BN25" s="764" t="s">
        <v>2345</v>
      </c>
      <c r="BO25" s="764" t="s">
        <v>2346</v>
      </c>
    </row>
    <row r="26" spans="1:70" s="4" customFormat="1" ht="21" customHeight="1">
      <c r="A26" s="1199"/>
      <c r="B26" s="481"/>
      <c r="C26" s="1177" t="s">
        <v>23</v>
      </c>
      <c r="D26" s="1177"/>
      <c r="E26" s="1177"/>
      <c r="F26" s="1177"/>
      <c r="G26" s="1177"/>
      <c r="H26" s="1177"/>
      <c r="I26" s="1177"/>
      <c r="J26" s="1177"/>
      <c r="K26" s="1177"/>
      <c r="L26" s="1177"/>
      <c r="M26" s="1177"/>
      <c r="N26" s="1178"/>
      <c r="O26" s="1171"/>
      <c r="P26" s="1172"/>
      <c r="Q26" s="1172"/>
      <c r="R26" s="1172"/>
      <c r="S26" s="1172"/>
      <c r="T26" s="1172"/>
      <c r="U26" s="1172"/>
      <c r="V26" s="1172"/>
      <c r="W26" s="1172"/>
      <c r="X26" s="1172"/>
      <c r="Y26" s="1172"/>
      <c r="Z26" s="1173"/>
      <c r="AA26" s="1199"/>
      <c r="AB26" s="491"/>
      <c r="AC26" s="1177" t="s">
        <v>23</v>
      </c>
      <c r="AD26" s="1177"/>
      <c r="AE26" s="1177"/>
      <c r="AF26" s="1177"/>
      <c r="AG26" s="1177"/>
      <c r="AH26" s="1177"/>
      <c r="AI26" s="1177"/>
      <c r="AJ26" s="1177"/>
      <c r="AK26" s="1177"/>
      <c r="AL26" s="1177"/>
      <c r="AM26" s="1177"/>
      <c r="AN26" s="1178"/>
      <c r="AO26" s="1171"/>
      <c r="AP26" s="1172"/>
      <c r="AQ26" s="1172"/>
      <c r="AR26" s="1172"/>
      <c r="AS26" s="1172"/>
      <c r="AT26" s="1172"/>
      <c r="AU26" s="1172"/>
      <c r="AV26" s="1172"/>
      <c r="AW26" s="1172"/>
      <c r="AX26" s="1172"/>
      <c r="AY26" s="1172"/>
      <c r="AZ26" s="1173"/>
      <c r="BA26" s="344">
        <v>26</v>
      </c>
      <c r="BB26" s="770">
        <v>600012</v>
      </c>
      <c r="BC26" s="382" t="str">
        <f t="shared" si="0"/>
        <v>札幌市中央区北十二条西</v>
      </c>
      <c r="BD26" s="382" t="s">
        <v>571</v>
      </c>
      <c r="BE26" s="82" t="s">
        <v>591</v>
      </c>
      <c r="BF26" s="88"/>
      <c r="BG26" s="1228"/>
      <c r="BH26" s="82">
        <v>27</v>
      </c>
      <c r="BI26" s="382" t="s">
        <v>1523</v>
      </c>
      <c r="BJ26" s="382" t="s">
        <v>1943</v>
      </c>
      <c r="BK26" s="382" t="s">
        <v>1944</v>
      </c>
      <c r="BL26" s="786" t="s">
        <v>1610</v>
      </c>
      <c r="BM26" s="765">
        <v>630843</v>
      </c>
      <c r="BN26" s="764" t="s">
        <v>2357</v>
      </c>
      <c r="BO26" s="764" t="s">
        <v>2358</v>
      </c>
    </row>
    <row r="27" spans="1:70" s="4" customFormat="1" ht="21" customHeight="1">
      <c r="A27" s="1199"/>
      <c r="B27" s="481"/>
      <c r="C27" s="1177" t="s">
        <v>21</v>
      </c>
      <c r="D27" s="1177"/>
      <c r="E27" s="1177"/>
      <c r="F27" s="1378"/>
      <c r="G27" s="1378"/>
      <c r="H27" s="1378"/>
      <c r="I27" s="1378"/>
      <c r="J27" s="1378"/>
      <c r="K27" s="1378"/>
      <c r="L27" s="1378"/>
      <c r="M27" s="1378"/>
      <c r="N27" s="861" t="s">
        <v>22</v>
      </c>
      <c r="O27" s="1171"/>
      <c r="P27" s="1172"/>
      <c r="Q27" s="1172"/>
      <c r="R27" s="1172"/>
      <c r="S27" s="1172"/>
      <c r="T27" s="1172"/>
      <c r="U27" s="1172"/>
      <c r="V27" s="1172"/>
      <c r="W27" s="1172"/>
      <c r="X27" s="1172"/>
      <c r="Y27" s="1172"/>
      <c r="Z27" s="1173"/>
      <c r="AA27" s="1199"/>
      <c r="AB27" s="882"/>
      <c r="AC27" s="1177" t="s">
        <v>21</v>
      </c>
      <c r="AD27" s="1177"/>
      <c r="AE27" s="1177"/>
      <c r="AF27" s="1166"/>
      <c r="AG27" s="1166"/>
      <c r="AH27" s="1166"/>
      <c r="AI27" s="1166"/>
      <c r="AJ27" s="1166"/>
      <c r="AK27" s="1166"/>
      <c r="AL27" s="1166"/>
      <c r="AM27" s="1166"/>
      <c r="AN27" s="861" t="s">
        <v>20</v>
      </c>
      <c r="AO27" s="1171"/>
      <c r="AP27" s="1172"/>
      <c r="AQ27" s="1172"/>
      <c r="AR27" s="1172"/>
      <c r="AS27" s="1172"/>
      <c r="AT27" s="1172"/>
      <c r="AU27" s="1172"/>
      <c r="AV27" s="1172"/>
      <c r="AW27" s="1172"/>
      <c r="AX27" s="1172"/>
      <c r="AY27" s="1172"/>
      <c r="AZ27" s="1173"/>
      <c r="BA27" s="344">
        <v>27</v>
      </c>
      <c r="BB27" s="770">
        <v>600013</v>
      </c>
      <c r="BC27" s="382" t="str">
        <f t="shared" si="0"/>
        <v>札幌市中央区北十三条西</v>
      </c>
      <c r="BD27" s="382" t="s">
        <v>571</v>
      </c>
      <c r="BE27" s="82" t="s">
        <v>592</v>
      </c>
      <c r="BF27" s="88"/>
      <c r="BG27" s="1228"/>
      <c r="BH27" s="82">
        <v>28</v>
      </c>
      <c r="BI27" s="382" t="s">
        <v>1521</v>
      </c>
      <c r="BJ27" s="382" t="s">
        <v>1945</v>
      </c>
      <c r="BK27" s="382" t="s">
        <v>1946</v>
      </c>
      <c r="BL27" s="786" t="s">
        <v>1611</v>
      </c>
      <c r="BM27" s="765">
        <v>630844</v>
      </c>
      <c r="BN27" s="764" t="s">
        <v>2343</v>
      </c>
      <c r="BO27" s="764" t="s">
        <v>2344</v>
      </c>
    </row>
    <row r="28" spans="1:70" s="4" customFormat="1" ht="21" customHeight="1">
      <c r="A28" s="1199"/>
      <c r="B28" s="1379"/>
      <c r="C28" s="1380"/>
      <c r="D28" s="1380"/>
      <c r="E28" s="1380"/>
      <c r="F28" s="1380"/>
      <c r="G28" s="1380"/>
      <c r="H28" s="1380"/>
      <c r="I28" s="1380"/>
      <c r="J28" s="1380"/>
      <c r="K28" s="1380"/>
      <c r="L28" s="1380"/>
      <c r="M28" s="1380"/>
      <c r="N28" s="1381"/>
      <c r="O28" s="1171"/>
      <c r="P28" s="1172"/>
      <c r="Q28" s="1172"/>
      <c r="R28" s="1172"/>
      <c r="S28" s="1172"/>
      <c r="T28" s="1172"/>
      <c r="U28" s="1172"/>
      <c r="V28" s="1172"/>
      <c r="W28" s="1172"/>
      <c r="X28" s="1172"/>
      <c r="Y28" s="1172"/>
      <c r="Z28" s="1173"/>
      <c r="AA28" s="1199"/>
      <c r="AB28" s="1213"/>
      <c r="AC28" s="1156"/>
      <c r="AD28" s="1156"/>
      <c r="AE28" s="1156"/>
      <c r="AF28" s="1156"/>
      <c r="AG28" s="1156"/>
      <c r="AH28" s="1156"/>
      <c r="AI28" s="1156"/>
      <c r="AJ28" s="1156"/>
      <c r="AK28" s="1156"/>
      <c r="AL28" s="1156"/>
      <c r="AM28" s="1156"/>
      <c r="AN28" s="1214"/>
      <c r="AO28" s="1171"/>
      <c r="AP28" s="1172"/>
      <c r="AQ28" s="1172"/>
      <c r="AR28" s="1172"/>
      <c r="AS28" s="1172"/>
      <c r="AT28" s="1172"/>
      <c r="AU28" s="1172"/>
      <c r="AV28" s="1172"/>
      <c r="AW28" s="1172"/>
      <c r="AX28" s="1172"/>
      <c r="AY28" s="1172"/>
      <c r="AZ28" s="1173"/>
      <c r="BA28" s="344">
        <v>28</v>
      </c>
      <c r="BB28" s="770">
        <v>600014</v>
      </c>
      <c r="BC28" s="382" t="str">
        <f t="shared" si="0"/>
        <v>札幌市中央区北十四条西</v>
      </c>
      <c r="BD28" s="382" t="s">
        <v>571</v>
      </c>
      <c r="BE28" s="82" t="s">
        <v>593</v>
      </c>
      <c r="BF28" s="88"/>
      <c r="BG28" s="1228"/>
      <c r="BH28" s="82">
        <v>29</v>
      </c>
      <c r="BI28" s="382" t="s">
        <v>1470</v>
      </c>
      <c r="BJ28" s="382" t="s">
        <v>1947</v>
      </c>
      <c r="BK28" s="382" t="s">
        <v>1948</v>
      </c>
      <c r="BL28" s="786" t="s">
        <v>1612</v>
      </c>
      <c r="BM28" s="765">
        <v>630867</v>
      </c>
      <c r="BN28" s="764" t="s">
        <v>2333</v>
      </c>
      <c r="BO28" s="764" t="s">
        <v>2334</v>
      </c>
    </row>
    <row r="29" spans="1:70" s="4" customFormat="1" ht="21" customHeight="1">
      <c r="A29" s="1199"/>
      <c r="B29" s="1379"/>
      <c r="C29" s="1380"/>
      <c r="D29" s="1380"/>
      <c r="E29" s="1380"/>
      <c r="F29" s="1380"/>
      <c r="G29" s="1380"/>
      <c r="H29" s="1380"/>
      <c r="I29" s="1380"/>
      <c r="J29" s="1380"/>
      <c r="K29" s="1380"/>
      <c r="L29" s="1380"/>
      <c r="M29" s="1380"/>
      <c r="N29" s="1381"/>
      <c r="O29" s="1171"/>
      <c r="P29" s="1172"/>
      <c r="Q29" s="1172"/>
      <c r="R29" s="1172"/>
      <c r="S29" s="1172"/>
      <c r="T29" s="1172"/>
      <c r="U29" s="1172"/>
      <c r="V29" s="1172"/>
      <c r="W29" s="1172"/>
      <c r="X29" s="1172"/>
      <c r="Y29" s="1172"/>
      <c r="Z29" s="1173"/>
      <c r="AA29" s="1199"/>
      <c r="AB29" s="1213"/>
      <c r="AC29" s="1156"/>
      <c r="AD29" s="1156"/>
      <c r="AE29" s="1156"/>
      <c r="AF29" s="1156"/>
      <c r="AG29" s="1156"/>
      <c r="AH29" s="1156"/>
      <c r="AI29" s="1156"/>
      <c r="AJ29" s="1156"/>
      <c r="AK29" s="1156"/>
      <c r="AL29" s="1156"/>
      <c r="AM29" s="1156"/>
      <c r="AN29" s="1214"/>
      <c r="AO29" s="1171"/>
      <c r="AP29" s="1172"/>
      <c r="AQ29" s="1172"/>
      <c r="AR29" s="1172"/>
      <c r="AS29" s="1172"/>
      <c r="AT29" s="1172"/>
      <c r="AU29" s="1172"/>
      <c r="AV29" s="1172"/>
      <c r="AW29" s="1172"/>
      <c r="AX29" s="1172"/>
      <c r="AY29" s="1172"/>
      <c r="AZ29" s="1173"/>
      <c r="BA29" s="344">
        <v>29</v>
      </c>
      <c r="BB29" s="770">
        <v>600015</v>
      </c>
      <c r="BC29" s="382" t="str">
        <f t="shared" si="0"/>
        <v>札幌市中央区北十五条西</v>
      </c>
      <c r="BD29" s="382" t="s">
        <v>571</v>
      </c>
      <c r="BE29" s="82" t="s">
        <v>594</v>
      </c>
      <c r="BF29" s="88"/>
      <c r="BG29" s="1228"/>
      <c r="BH29" s="82">
        <v>30</v>
      </c>
      <c r="BI29" s="382" t="s">
        <v>1522</v>
      </c>
      <c r="BJ29" s="382" t="s">
        <v>1949</v>
      </c>
      <c r="BK29" s="382" t="s">
        <v>1920</v>
      </c>
      <c r="BL29" s="786" t="s">
        <v>1613</v>
      </c>
      <c r="BM29" s="765">
        <v>630848</v>
      </c>
      <c r="BN29" s="764" t="s">
        <v>2365</v>
      </c>
      <c r="BO29" s="764" t="s">
        <v>2366</v>
      </c>
    </row>
    <row r="30" spans="1:70" s="4" customFormat="1" ht="21" customHeight="1">
      <c r="A30" s="1200"/>
      <c r="B30" s="1382"/>
      <c r="C30" s="1383"/>
      <c r="D30" s="1383"/>
      <c r="E30" s="1383"/>
      <c r="F30" s="1383"/>
      <c r="G30" s="1383"/>
      <c r="H30" s="1383"/>
      <c r="I30" s="1383"/>
      <c r="J30" s="1383"/>
      <c r="K30" s="1383"/>
      <c r="L30" s="1383"/>
      <c r="M30" s="1383"/>
      <c r="N30" s="1384"/>
      <c r="O30" s="1174"/>
      <c r="P30" s="1175"/>
      <c r="Q30" s="1175"/>
      <c r="R30" s="1175"/>
      <c r="S30" s="1175"/>
      <c r="T30" s="1175"/>
      <c r="U30" s="1175"/>
      <c r="V30" s="1175"/>
      <c r="W30" s="1175"/>
      <c r="X30" s="1175"/>
      <c r="Y30" s="1175"/>
      <c r="Z30" s="1176"/>
      <c r="AA30" s="1200"/>
      <c r="AB30" s="1215"/>
      <c r="AC30" s="1216"/>
      <c r="AD30" s="1216"/>
      <c r="AE30" s="1216"/>
      <c r="AF30" s="1216"/>
      <c r="AG30" s="1216"/>
      <c r="AH30" s="1216"/>
      <c r="AI30" s="1216"/>
      <c r="AJ30" s="1216"/>
      <c r="AK30" s="1216"/>
      <c r="AL30" s="1216"/>
      <c r="AM30" s="1216"/>
      <c r="AN30" s="1217"/>
      <c r="AO30" s="1174"/>
      <c r="AP30" s="1175"/>
      <c r="AQ30" s="1175"/>
      <c r="AR30" s="1175"/>
      <c r="AS30" s="1175"/>
      <c r="AT30" s="1175"/>
      <c r="AU30" s="1175"/>
      <c r="AV30" s="1175"/>
      <c r="AW30" s="1175"/>
      <c r="AX30" s="1175"/>
      <c r="AY30" s="1175"/>
      <c r="AZ30" s="1176"/>
      <c r="BA30" s="344">
        <v>30</v>
      </c>
      <c r="BB30" s="770">
        <v>600016</v>
      </c>
      <c r="BC30" s="382" t="str">
        <f t="shared" si="0"/>
        <v>札幌市中央区北十六条西</v>
      </c>
      <c r="BD30" s="382" t="s">
        <v>571</v>
      </c>
      <c r="BE30" s="82" t="s">
        <v>595</v>
      </c>
      <c r="BF30" s="88"/>
      <c r="BG30" s="1228"/>
      <c r="BH30" s="82">
        <v>31</v>
      </c>
      <c r="BI30" s="382" t="s">
        <v>1524</v>
      </c>
      <c r="BJ30" s="382" t="s">
        <v>1950</v>
      </c>
      <c r="BK30" s="382" t="s">
        <v>1951</v>
      </c>
      <c r="BL30" s="786" t="s">
        <v>1614</v>
      </c>
      <c r="BM30" s="765">
        <v>630830</v>
      </c>
      <c r="BN30" s="764" t="s">
        <v>2335</v>
      </c>
      <c r="BO30" s="764" t="s">
        <v>2336</v>
      </c>
    </row>
    <row r="31" spans="1:70" s="4" customFormat="1" ht="24.95" customHeight="1">
      <c r="A31" s="1179" t="s">
        <v>19</v>
      </c>
      <c r="B31" s="1179"/>
      <c r="C31" s="1179"/>
      <c r="D31" s="1179"/>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c r="AA31" s="1179" t="s">
        <v>19</v>
      </c>
      <c r="AB31" s="1179"/>
      <c r="AC31" s="1179"/>
      <c r="AD31" s="1179"/>
      <c r="AE31" s="1179"/>
      <c r="AF31" s="1179"/>
      <c r="AG31" s="1179"/>
      <c r="AH31" s="1179"/>
      <c r="AI31" s="1179"/>
      <c r="AJ31" s="1179"/>
      <c r="AK31" s="1179"/>
      <c r="AL31" s="1179"/>
      <c r="AM31" s="1179"/>
      <c r="AN31" s="1179"/>
      <c r="AO31" s="1179"/>
      <c r="AP31" s="1179"/>
      <c r="AQ31" s="1179"/>
      <c r="AR31" s="1179"/>
      <c r="AS31" s="1179"/>
      <c r="AT31" s="1179"/>
      <c r="AU31" s="1179"/>
      <c r="AV31" s="1179"/>
      <c r="AW31" s="1179"/>
      <c r="AX31" s="1179"/>
      <c r="AY31" s="1179"/>
      <c r="AZ31" s="1179"/>
      <c r="BA31" s="344">
        <v>31</v>
      </c>
      <c r="BB31" s="770">
        <v>600017</v>
      </c>
      <c r="BC31" s="382" t="str">
        <f t="shared" si="0"/>
        <v>札幌市中央区北十七条西</v>
      </c>
      <c r="BD31" s="382" t="s">
        <v>571</v>
      </c>
      <c r="BE31" s="82" t="s">
        <v>596</v>
      </c>
      <c r="BF31" s="88"/>
      <c r="BG31" s="1228"/>
      <c r="BH31" s="82">
        <v>32</v>
      </c>
      <c r="BI31" s="382" t="s">
        <v>1587</v>
      </c>
      <c r="BJ31" s="382" t="s">
        <v>1952</v>
      </c>
      <c r="BK31" s="382" t="s">
        <v>1953</v>
      </c>
      <c r="BL31" s="786" t="s">
        <v>1615</v>
      </c>
      <c r="BM31" s="765">
        <v>630831</v>
      </c>
      <c r="BN31" s="789"/>
      <c r="BO31" s="88"/>
    </row>
    <row r="32" spans="1:70" s="4" customFormat="1" ht="24.95" customHeight="1">
      <c r="A32" s="1179"/>
      <c r="B32" s="1179"/>
      <c r="C32" s="1179"/>
      <c r="D32" s="1179"/>
      <c r="E32" s="1179"/>
      <c r="F32" s="1179"/>
      <c r="G32" s="1179"/>
      <c r="H32" s="1179"/>
      <c r="I32" s="1179"/>
      <c r="J32" s="1179"/>
      <c r="K32" s="1179"/>
      <c r="L32" s="1179"/>
      <c r="M32" s="1179"/>
      <c r="N32" s="1179"/>
      <c r="O32" s="1179"/>
      <c r="P32" s="1179"/>
      <c r="Q32" s="1179"/>
      <c r="R32" s="1375"/>
      <c r="S32" s="1375"/>
      <c r="T32" s="482" t="s">
        <v>18</v>
      </c>
      <c r="U32" s="1374"/>
      <c r="V32" s="1374"/>
      <c r="W32" s="482" t="s">
        <v>17</v>
      </c>
      <c r="X32" s="1374"/>
      <c r="Y32" s="1374"/>
      <c r="Z32" s="482" t="s">
        <v>16</v>
      </c>
      <c r="AA32" s="1179"/>
      <c r="AB32" s="1179"/>
      <c r="AC32" s="1179"/>
      <c r="AD32" s="1179"/>
      <c r="AE32" s="1179"/>
      <c r="AF32" s="1179"/>
      <c r="AG32" s="1179"/>
      <c r="AH32" s="1179"/>
      <c r="AI32" s="1179"/>
      <c r="AJ32" s="1179"/>
      <c r="AK32" s="1179"/>
      <c r="AL32" s="1179"/>
      <c r="AM32" s="1179"/>
      <c r="AN32" s="1179"/>
      <c r="AO32" s="1179"/>
      <c r="AP32" s="1179"/>
      <c r="AQ32" s="1179"/>
      <c r="AR32" s="1180" t="s">
        <v>1829</v>
      </c>
      <c r="AS32" s="1180"/>
      <c r="AT32" s="482" t="s">
        <v>18</v>
      </c>
      <c r="AU32" s="1181">
        <v>9</v>
      </c>
      <c r="AV32" s="1181"/>
      <c r="AW32" s="482" t="s">
        <v>17</v>
      </c>
      <c r="AX32" s="1181">
        <v>8</v>
      </c>
      <c r="AY32" s="1181"/>
      <c r="AZ32" s="482" t="s">
        <v>16</v>
      </c>
      <c r="BA32" s="860"/>
      <c r="BB32" s="770">
        <v>600018</v>
      </c>
      <c r="BC32" s="382" t="str">
        <f t="shared" si="0"/>
        <v>札幌市中央区北十八条西</v>
      </c>
      <c r="BD32" s="382" t="s">
        <v>571</v>
      </c>
      <c r="BE32" s="82" t="s">
        <v>597</v>
      </c>
      <c r="BF32" s="88"/>
      <c r="BG32" s="1228"/>
      <c r="BH32" s="82">
        <v>33</v>
      </c>
      <c r="BI32" s="382" t="s">
        <v>1526</v>
      </c>
      <c r="BJ32" s="382" t="s">
        <v>1954</v>
      </c>
      <c r="BK32" s="382" t="s">
        <v>1955</v>
      </c>
      <c r="BL32" s="786" t="s">
        <v>1617</v>
      </c>
      <c r="BM32" s="765">
        <v>630835</v>
      </c>
      <c r="BN32" s="764" t="s">
        <v>2353</v>
      </c>
      <c r="BO32" s="764" t="s">
        <v>2354</v>
      </c>
    </row>
    <row r="33" spans="1:75" s="4" customFormat="1" ht="24.95" customHeight="1">
      <c r="A33" s="1156" t="s">
        <v>14</v>
      </c>
      <c r="B33" s="1156"/>
      <c r="C33" s="1167" t="s">
        <v>15</v>
      </c>
      <c r="D33" s="1167"/>
      <c r="E33" s="1167"/>
      <c r="F33" s="1167"/>
      <c r="G33" s="1167"/>
      <c r="H33" s="1167"/>
      <c r="I33" s="1167"/>
      <c r="J33" s="1167"/>
      <c r="K33" s="1167"/>
      <c r="L33" s="1167"/>
      <c r="M33" s="1167"/>
      <c r="N33" s="1167"/>
      <c r="O33" s="1167"/>
      <c r="P33" s="1167"/>
      <c r="Q33" s="1167"/>
      <c r="R33" s="1179"/>
      <c r="S33" s="1179"/>
      <c r="T33" s="1179"/>
      <c r="U33" s="1179"/>
      <c r="V33" s="1179"/>
      <c r="W33" s="1179"/>
      <c r="X33" s="1179"/>
      <c r="Y33" s="1179"/>
      <c r="Z33" s="1179"/>
      <c r="AA33" s="1156" t="s">
        <v>14</v>
      </c>
      <c r="AB33" s="1156"/>
      <c r="AC33" s="1167" t="s">
        <v>13</v>
      </c>
      <c r="AD33" s="1167"/>
      <c r="AE33" s="1167"/>
      <c r="AF33" s="1167"/>
      <c r="AG33" s="1167"/>
      <c r="AH33" s="1167"/>
      <c r="AI33" s="1167"/>
      <c r="AJ33" s="1167"/>
      <c r="AK33" s="1167"/>
      <c r="AL33" s="1167"/>
      <c r="AM33" s="1167"/>
      <c r="AN33" s="1167"/>
      <c r="AO33" s="1167"/>
      <c r="AP33" s="1167"/>
      <c r="AQ33" s="1167"/>
      <c r="AR33" s="1179"/>
      <c r="AS33" s="1179"/>
      <c r="AT33" s="1179"/>
      <c r="AU33" s="1179"/>
      <c r="AV33" s="1179"/>
      <c r="AW33" s="1179"/>
      <c r="AX33" s="1179"/>
      <c r="AY33" s="1179"/>
      <c r="AZ33" s="1179"/>
      <c r="BA33" s="860"/>
      <c r="BB33" s="770">
        <v>600020</v>
      </c>
      <c r="BC33" s="382" t="str">
        <f t="shared" si="0"/>
        <v>札幌市中央区北二十条西</v>
      </c>
      <c r="BD33" s="382" t="s">
        <v>571</v>
      </c>
      <c r="BE33" s="82" t="s">
        <v>598</v>
      </c>
      <c r="BF33" s="88"/>
      <c r="BG33" s="1228"/>
      <c r="BH33" s="82">
        <v>34</v>
      </c>
      <c r="BI33" s="382" t="s">
        <v>1527</v>
      </c>
      <c r="BJ33" s="382" t="s">
        <v>1956</v>
      </c>
      <c r="BK33" s="382" t="s">
        <v>1957</v>
      </c>
      <c r="BL33" s="786" t="s">
        <v>1618</v>
      </c>
      <c r="BM33" s="765">
        <v>630822</v>
      </c>
      <c r="BN33" s="764" t="s">
        <v>2347</v>
      </c>
      <c r="BO33" s="764" t="s">
        <v>2348</v>
      </c>
    </row>
    <row r="34" spans="1:75" s="4" customFormat="1" ht="24.95" customHeight="1">
      <c r="A34" s="1156"/>
      <c r="B34" s="1156"/>
      <c r="C34" s="1167" t="s">
        <v>12</v>
      </c>
      <c r="D34" s="1167"/>
      <c r="E34" s="1167"/>
      <c r="F34" s="1167"/>
      <c r="G34" s="1167"/>
      <c r="H34" s="1167"/>
      <c r="I34" s="1167"/>
      <c r="J34" s="1167"/>
      <c r="K34" s="1167"/>
      <c r="L34" s="1167"/>
      <c r="M34" s="1167"/>
      <c r="N34" s="1167"/>
      <c r="O34" s="1167"/>
      <c r="P34" s="1167"/>
      <c r="Q34" s="1167"/>
      <c r="R34" s="1163" t="s">
        <v>277</v>
      </c>
      <c r="S34" s="1164"/>
      <c r="T34" s="1165"/>
      <c r="U34" s="1163" t="s">
        <v>496</v>
      </c>
      <c r="V34" s="1164"/>
      <c r="W34" s="1165"/>
      <c r="X34" s="1163" t="s">
        <v>10</v>
      </c>
      <c r="Y34" s="1164"/>
      <c r="Z34" s="1165"/>
      <c r="AA34" s="1156"/>
      <c r="AB34" s="1156"/>
      <c r="AC34" s="1167" t="s">
        <v>12</v>
      </c>
      <c r="AD34" s="1167"/>
      <c r="AE34" s="1167"/>
      <c r="AF34" s="1167"/>
      <c r="AG34" s="1167"/>
      <c r="AH34" s="1167"/>
      <c r="AI34" s="1167"/>
      <c r="AJ34" s="1167"/>
      <c r="AK34" s="1167"/>
      <c r="AL34" s="1167"/>
      <c r="AM34" s="1167"/>
      <c r="AN34" s="1167"/>
      <c r="AO34" s="1167"/>
      <c r="AP34" s="1167"/>
      <c r="AQ34" s="1167"/>
      <c r="AR34" s="1163" t="s">
        <v>277</v>
      </c>
      <c r="AS34" s="1164"/>
      <c r="AT34" s="1165"/>
      <c r="AU34" s="1163" t="s">
        <v>496</v>
      </c>
      <c r="AV34" s="1164"/>
      <c r="AW34" s="1165"/>
      <c r="AX34" s="1163" t="s">
        <v>10</v>
      </c>
      <c r="AY34" s="1164"/>
      <c r="AZ34" s="1165"/>
      <c r="BA34" s="860"/>
      <c r="BB34" s="770">
        <v>600021</v>
      </c>
      <c r="BC34" s="382" t="str">
        <f t="shared" si="0"/>
        <v>札幌市中央区北二十一条西</v>
      </c>
      <c r="BD34" s="382" t="s">
        <v>571</v>
      </c>
      <c r="BE34" s="82" t="s">
        <v>599</v>
      </c>
      <c r="BF34" s="88"/>
      <c r="BG34" s="1228"/>
      <c r="BH34" s="82">
        <v>35</v>
      </c>
      <c r="BI34" s="382" t="s">
        <v>1525</v>
      </c>
      <c r="BJ34" s="382" t="s">
        <v>1958</v>
      </c>
      <c r="BK34" s="382" t="s">
        <v>1959</v>
      </c>
      <c r="BL34" s="786" t="s">
        <v>1619</v>
      </c>
      <c r="BM34" s="765">
        <v>630825</v>
      </c>
      <c r="BN34" s="764" t="s">
        <v>2341</v>
      </c>
      <c r="BO34" s="764" t="s">
        <v>2342</v>
      </c>
    </row>
    <row r="35" spans="1:75" s="4" customFormat="1" ht="24.95" customHeight="1">
      <c r="A35" s="1156"/>
      <c r="B35" s="1156"/>
      <c r="C35" s="1156"/>
      <c r="D35" s="1156"/>
      <c r="E35" s="1156"/>
      <c r="F35" s="1156"/>
      <c r="G35" s="1156"/>
      <c r="H35" s="1156"/>
      <c r="I35" s="1156"/>
      <c r="J35" s="1156"/>
      <c r="K35" s="1156"/>
      <c r="L35" s="1156"/>
      <c r="M35" s="1156"/>
      <c r="N35" s="1156"/>
      <c r="O35" s="1156"/>
      <c r="P35" s="1156"/>
      <c r="Q35" s="1156"/>
      <c r="R35" s="1157"/>
      <c r="S35" s="1158"/>
      <c r="T35" s="1159"/>
      <c r="U35" s="1157"/>
      <c r="V35" s="1158"/>
      <c r="W35" s="1159"/>
      <c r="X35" s="1157"/>
      <c r="Y35" s="1158"/>
      <c r="Z35" s="1159"/>
      <c r="AA35" s="1156"/>
      <c r="AB35" s="1156"/>
      <c r="AC35" s="1156"/>
      <c r="AD35" s="1156"/>
      <c r="AE35" s="1156"/>
      <c r="AF35" s="1156"/>
      <c r="AG35" s="1156"/>
      <c r="AH35" s="1156"/>
      <c r="AI35" s="1156"/>
      <c r="AJ35" s="1156"/>
      <c r="AK35" s="1156"/>
      <c r="AL35" s="1156"/>
      <c r="AM35" s="1156"/>
      <c r="AN35" s="1156"/>
      <c r="AO35" s="1156"/>
      <c r="AP35" s="1156"/>
      <c r="AQ35" s="1156"/>
      <c r="AR35" s="1157"/>
      <c r="AS35" s="1158"/>
      <c r="AT35" s="1159"/>
      <c r="AU35" s="1157"/>
      <c r="AV35" s="1158"/>
      <c r="AW35" s="1159"/>
      <c r="AX35" s="1157"/>
      <c r="AY35" s="1158"/>
      <c r="AZ35" s="1159"/>
      <c r="BA35" s="860"/>
      <c r="BB35" s="770">
        <v>600022</v>
      </c>
      <c r="BC35" s="382" t="str">
        <f t="shared" si="0"/>
        <v>札幌市中央区北二十二条西</v>
      </c>
      <c r="BD35" s="382" t="s">
        <v>571</v>
      </c>
      <c r="BE35" s="82" t="s">
        <v>600</v>
      </c>
      <c r="BF35" s="88"/>
      <c r="BG35" s="1228"/>
      <c r="BH35" s="82">
        <v>36</v>
      </c>
      <c r="BI35" s="382" t="s">
        <v>1513</v>
      </c>
      <c r="BJ35" s="382" t="s">
        <v>1960</v>
      </c>
      <c r="BK35" s="382" t="s">
        <v>1961</v>
      </c>
      <c r="BL35" s="786" t="s">
        <v>1620</v>
      </c>
      <c r="BM35" s="765">
        <v>630827</v>
      </c>
      <c r="BN35" s="764" t="s">
        <v>2349</v>
      </c>
      <c r="BO35" s="764" t="s">
        <v>2350</v>
      </c>
    </row>
    <row r="36" spans="1:75" s="4" customFormat="1" ht="24.95" customHeight="1">
      <c r="A36" s="1156"/>
      <c r="B36" s="1156"/>
      <c r="C36" s="1156"/>
      <c r="D36" s="1156"/>
      <c r="E36" s="1156"/>
      <c r="F36" s="1156"/>
      <c r="G36" s="1156"/>
      <c r="H36" s="1156"/>
      <c r="I36" s="1156"/>
      <c r="J36" s="1156"/>
      <c r="K36" s="1156"/>
      <c r="L36" s="1156"/>
      <c r="M36" s="1156"/>
      <c r="N36" s="1156"/>
      <c r="O36" s="1156"/>
      <c r="P36" s="1156"/>
      <c r="Q36" s="1156"/>
      <c r="R36" s="1160"/>
      <c r="S36" s="1161"/>
      <c r="T36" s="1162"/>
      <c r="U36" s="1160"/>
      <c r="V36" s="1161"/>
      <c r="W36" s="1162"/>
      <c r="X36" s="1160"/>
      <c r="Y36" s="1161"/>
      <c r="Z36" s="1162"/>
      <c r="AA36" s="1156"/>
      <c r="AB36" s="1156"/>
      <c r="AC36" s="1156"/>
      <c r="AD36" s="1156"/>
      <c r="AE36" s="1156"/>
      <c r="AF36" s="1156"/>
      <c r="AG36" s="1156"/>
      <c r="AH36" s="1156"/>
      <c r="AI36" s="1156"/>
      <c r="AJ36" s="1156"/>
      <c r="AK36" s="1156"/>
      <c r="AL36" s="1156"/>
      <c r="AM36" s="1156"/>
      <c r="AN36" s="1156"/>
      <c r="AO36" s="1156"/>
      <c r="AP36" s="1156"/>
      <c r="AQ36" s="1156"/>
      <c r="AR36" s="1160"/>
      <c r="AS36" s="1161"/>
      <c r="AT36" s="1162"/>
      <c r="AU36" s="1160"/>
      <c r="AV36" s="1161"/>
      <c r="AW36" s="1162"/>
      <c r="AX36" s="1160"/>
      <c r="AY36" s="1161"/>
      <c r="AZ36" s="1162"/>
      <c r="BA36" s="860"/>
      <c r="BB36" s="770">
        <v>640943</v>
      </c>
      <c r="BC36" s="382" t="str">
        <f t="shared" si="0"/>
        <v>札幌市中央区界川</v>
      </c>
      <c r="BD36" s="382" t="s">
        <v>571</v>
      </c>
      <c r="BE36" s="82" t="s">
        <v>601</v>
      </c>
      <c r="BF36" s="88"/>
      <c r="BG36" s="1228"/>
      <c r="BH36" s="82">
        <v>37</v>
      </c>
      <c r="BI36" s="382" t="s">
        <v>1543</v>
      </c>
      <c r="BJ36" s="382" t="s">
        <v>1962</v>
      </c>
      <c r="BK36" s="382" t="s">
        <v>1963</v>
      </c>
      <c r="BL36" s="786" t="s">
        <v>1621</v>
      </c>
      <c r="BM36" s="765">
        <v>630012</v>
      </c>
      <c r="BN36" s="764" t="s">
        <v>2359</v>
      </c>
      <c r="BO36" s="764" t="s">
        <v>2360</v>
      </c>
    </row>
    <row r="37" spans="1:75" ht="13.5" customHeight="1">
      <c r="BA37" s="344"/>
      <c r="BB37" s="770">
        <v>640931</v>
      </c>
      <c r="BC37" s="382" t="str">
        <f t="shared" si="0"/>
        <v>札幌市中央区中島公園</v>
      </c>
      <c r="BD37" s="382" t="s">
        <v>571</v>
      </c>
      <c r="BE37" s="82" t="s">
        <v>602</v>
      </c>
      <c r="BF37" s="382"/>
      <c r="BG37" s="1228"/>
      <c r="BH37" s="82">
        <v>38</v>
      </c>
      <c r="BI37" s="382" t="s">
        <v>1551</v>
      </c>
      <c r="BJ37" s="382" t="s">
        <v>1964</v>
      </c>
      <c r="BK37" s="382" t="s">
        <v>1965</v>
      </c>
      <c r="BL37" s="382" t="s">
        <v>1622</v>
      </c>
      <c r="BM37" s="765">
        <v>630023</v>
      </c>
      <c r="BN37" s="764" t="s">
        <v>2367</v>
      </c>
      <c r="BO37" s="764" t="s">
        <v>2368</v>
      </c>
      <c r="BP37" s="344"/>
      <c r="BQ37" s="343"/>
      <c r="BR37" s="343"/>
      <c r="BS37" s="343"/>
      <c r="BT37" s="343"/>
      <c r="BU37" s="343"/>
      <c r="BV37" s="343"/>
      <c r="BW37" s="343"/>
    </row>
    <row r="38" spans="1:75" ht="13.5" customHeight="1">
      <c r="R38" s="406"/>
      <c r="S38" s="406"/>
      <c r="T38" s="406"/>
      <c r="U38" s="406"/>
      <c r="V38" s="406"/>
      <c r="W38" s="406"/>
      <c r="X38" s="1339" t="b">
        <v>0</v>
      </c>
      <c r="Y38" s="1339"/>
      <c r="Z38" s="406"/>
      <c r="BA38" s="344"/>
      <c r="BB38" s="770">
        <v>640945</v>
      </c>
      <c r="BC38" s="382" t="str">
        <f t="shared" si="0"/>
        <v>札幌市中央区盤渓</v>
      </c>
      <c r="BD38" s="382" t="s">
        <v>571</v>
      </c>
      <c r="BE38" s="82" t="s">
        <v>603</v>
      </c>
      <c r="BF38" s="382"/>
      <c r="BG38" s="1228" t="s">
        <v>1623</v>
      </c>
      <c r="BH38" s="769">
        <v>39</v>
      </c>
      <c r="BI38" s="382" t="s">
        <v>1464</v>
      </c>
      <c r="BJ38" s="781" t="s">
        <v>1966</v>
      </c>
      <c r="BK38" s="781" t="s">
        <v>1967</v>
      </c>
      <c r="BL38" s="382" t="s">
        <v>1624</v>
      </c>
      <c r="BM38" s="790">
        <v>40841</v>
      </c>
      <c r="BN38" s="764" t="s">
        <v>2415</v>
      </c>
      <c r="BO38" s="764" t="s">
        <v>2416</v>
      </c>
      <c r="BP38" s="344"/>
      <c r="BQ38" s="348"/>
      <c r="BR38" s="346"/>
      <c r="BS38" s="343"/>
      <c r="BT38" s="343"/>
      <c r="BU38" s="346"/>
      <c r="BV38" s="346"/>
      <c r="BW38" s="343"/>
    </row>
    <row r="39" spans="1:75" ht="13.5" customHeight="1">
      <c r="Q39" s="382"/>
      <c r="R39" s="407"/>
      <c r="S39" s="407"/>
      <c r="T39" s="407"/>
      <c r="U39" s="407"/>
      <c r="V39" s="407"/>
      <c r="W39" s="406"/>
      <c r="X39" s="406"/>
      <c r="Y39" s="406"/>
      <c r="Z39" s="406"/>
      <c r="BA39" s="344"/>
      <c r="BB39" s="770">
        <v>640942</v>
      </c>
      <c r="BC39" s="382" t="str">
        <f t="shared" si="0"/>
        <v>札幌市中央区伏見</v>
      </c>
      <c r="BD39" s="382" t="s">
        <v>571</v>
      </c>
      <c r="BE39" s="82" t="s">
        <v>604</v>
      </c>
      <c r="BF39" s="382"/>
      <c r="BG39" s="1228"/>
      <c r="BH39" s="769">
        <v>40</v>
      </c>
      <c r="BI39" s="382" t="s">
        <v>1466</v>
      </c>
      <c r="BJ39" s="382" t="s">
        <v>1970</v>
      </c>
      <c r="BK39" s="382" t="s">
        <v>1971</v>
      </c>
      <c r="BL39" s="382" t="s">
        <v>1625</v>
      </c>
      <c r="BM39" s="791">
        <v>40845</v>
      </c>
      <c r="BN39" s="764" t="s">
        <v>2423</v>
      </c>
      <c r="BO39" s="764" t="s">
        <v>2424</v>
      </c>
      <c r="BP39" s="344"/>
      <c r="BQ39" s="348"/>
      <c r="BR39" s="346"/>
      <c r="BS39" s="343"/>
      <c r="BT39" s="343"/>
      <c r="BU39" s="346"/>
      <c r="BV39" s="346"/>
      <c r="BW39" s="343"/>
    </row>
    <row r="40" spans="1:75" ht="13.5" customHeight="1">
      <c r="Q40" s="382"/>
      <c r="R40" s="408" t="b">
        <v>0</v>
      </c>
      <c r="S40" s="409" t="b">
        <v>0</v>
      </c>
      <c r="T40" s="409" t="b">
        <v>0</v>
      </c>
      <c r="U40" s="409" t="b">
        <v>0</v>
      </c>
      <c r="V40" s="407"/>
      <c r="W40" s="406"/>
      <c r="X40" s="406"/>
      <c r="Y40" s="406"/>
      <c r="Z40" s="406"/>
      <c r="BA40" s="344"/>
      <c r="BB40" s="770">
        <v>640946</v>
      </c>
      <c r="BC40" s="382" t="str">
        <f t="shared" si="0"/>
        <v>札幌市中央区双子山</v>
      </c>
      <c r="BD40" s="382" t="s">
        <v>571</v>
      </c>
      <c r="BE40" s="82" t="s">
        <v>605</v>
      </c>
      <c r="BF40" s="382"/>
      <c r="BG40" s="1228"/>
      <c r="BH40" s="769">
        <v>41</v>
      </c>
      <c r="BI40" s="382" t="s">
        <v>1465</v>
      </c>
      <c r="BJ40" s="382" t="s">
        <v>1972</v>
      </c>
      <c r="BK40" s="382" t="s">
        <v>1973</v>
      </c>
      <c r="BL40" s="382" t="s">
        <v>1626</v>
      </c>
      <c r="BM40" s="791">
        <v>40847</v>
      </c>
      <c r="BN40" s="764" t="s">
        <v>2429</v>
      </c>
      <c r="BO40" s="764" t="s">
        <v>2430</v>
      </c>
      <c r="BP40" s="344"/>
      <c r="BQ40" s="348"/>
      <c r="BR40" s="346"/>
      <c r="BS40" s="343"/>
      <c r="BT40" s="343"/>
      <c r="BU40" s="346"/>
      <c r="BV40" s="346"/>
      <c r="BW40" s="343"/>
    </row>
    <row r="41" spans="1:75" ht="13.5" customHeight="1">
      <c r="Q41" s="382"/>
      <c r="R41" s="407"/>
      <c r="S41" s="407"/>
      <c r="T41" s="407"/>
      <c r="U41" s="407"/>
      <c r="V41" s="407"/>
      <c r="W41" s="406"/>
      <c r="X41" s="406"/>
      <c r="Y41" s="406"/>
      <c r="Z41" s="406"/>
      <c r="BA41" s="344"/>
      <c r="BB41" s="770">
        <v>640944</v>
      </c>
      <c r="BC41" s="382" t="str">
        <f t="shared" si="0"/>
        <v>札幌市中央区円山西町</v>
      </c>
      <c r="BD41" s="382" t="s">
        <v>571</v>
      </c>
      <c r="BE41" s="82" t="s">
        <v>606</v>
      </c>
      <c r="BF41" s="382"/>
      <c r="BG41" s="1228"/>
      <c r="BH41" s="769">
        <v>42</v>
      </c>
      <c r="BI41" s="785" t="s">
        <v>1482</v>
      </c>
      <c r="BJ41" s="382" t="s">
        <v>1974</v>
      </c>
      <c r="BK41" s="382" t="s">
        <v>1975</v>
      </c>
      <c r="BL41" s="382" t="s">
        <v>1627</v>
      </c>
      <c r="BM41" s="791">
        <v>40811</v>
      </c>
      <c r="BN41" s="764" t="s">
        <v>2433</v>
      </c>
      <c r="BO41" s="764" t="s">
        <v>2434</v>
      </c>
      <c r="BP41" s="344"/>
      <c r="BQ41" s="348"/>
      <c r="BR41" s="346"/>
      <c r="BS41" s="343"/>
      <c r="BT41" s="343"/>
      <c r="BU41" s="346"/>
      <c r="BV41" s="346"/>
      <c r="BW41" s="343"/>
    </row>
    <row r="42" spans="1:75" ht="13.5" customHeight="1">
      <c r="R42" s="406"/>
      <c r="S42" s="406"/>
      <c r="T42" s="406"/>
      <c r="U42" s="406"/>
      <c r="V42" s="406"/>
      <c r="W42" s="406"/>
      <c r="X42" s="406"/>
      <c r="Y42" s="406"/>
      <c r="Z42" s="406"/>
      <c r="BA42" s="344"/>
      <c r="BB42" s="770">
        <v>600051</v>
      </c>
      <c r="BC42" s="382" t="str">
        <f t="shared" si="0"/>
        <v>札幌市中央区南一条東</v>
      </c>
      <c r="BD42" s="382" t="s">
        <v>571</v>
      </c>
      <c r="BE42" s="82" t="s">
        <v>607</v>
      </c>
      <c r="BF42" s="382"/>
      <c r="BG42" s="1228"/>
      <c r="BH42" s="769">
        <v>43</v>
      </c>
      <c r="BI42" s="382" t="s">
        <v>1449</v>
      </c>
      <c r="BJ42" s="382" t="s">
        <v>1976</v>
      </c>
      <c r="BK42" s="382" t="s">
        <v>1977</v>
      </c>
      <c r="BL42" s="382" t="s">
        <v>1628</v>
      </c>
      <c r="BM42" s="791">
        <v>40812</v>
      </c>
      <c r="BN42" s="764" t="s">
        <v>2439</v>
      </c>
      <c r="BO42" s="764" t="s">
        <v>2440</v>
      </c>
      <c r="BP42" s="344"/>
      <c r="BQ42" s="348"/>
      <c r="BR42" s="346"/>
      <c r="BS42" s="343"/>
      <c r="BT42" s="343"/>
      <c r="BU42" s="346"/>
      <c r="BV42" s="346"/>
      <c r="BW42" s="343"/>
    </row>
    <row r="43" spans="1:75" ht="13.5" customHeight="1">
      <c r="BA43" s="344"/>
      <c r="BB43" s="770">
        <v>600061</v>
      </c>
      <c r="BC43" s="382" t="str">
        <f t="shared" si="0"/>
        <v>札幌市中央区南一条西</v>
      </c>
      <c r="BD43" s="382" t="s">
        <v>571</v>
      </c>
      <c r="BE43" s="82" t="s">
        <v>1347</v>
      </c>
      <c r="BF43" s="382"/>
      <c r="BG43" s="1228"/>
      <c r="BH43" s="769">
        <v>44</v>
      </c>
      <c r="BI43" s="785" t="s">
        <v>1629</v>
      </c>
      <c r="BJ43" s="382" t="s">
        <v>1978</v>
      </c>
      <c r="BK43" s="382" t="s">
        <v>1979</v>
      </c>
      <c r="BL43" s="382" t="s">
        <v>1630</v>
      </c>
      <c r="BM43" s="791">
        <v>40814</v>
      </c>
      <c r="BN43" s="764" t="s">
        <v>2443</v>
      </c>
      <c r="BO43" s="764" t="s">
        <v>2444</v>
      </c>
      <c r="BP43" s="344"/>
      <c r="BQ43" s="348"/>
      <c r="BR43" s="346"/>
      <c r="BS43" s="343"/>
      <c r="BT43" s="343"/>
      <c r="BU43" s="346"/>
      <c r="BV43" s="346"/>
      <c r="BW43" s="343"/>
    </row>
    <row r="44" spans="1:75" ht="13.5" customHeight="1">
      <c r="BA44" s="344"/>
      <c r="BB44" s="770">
        <v>640801</v>
      </c>
      <c r="BC44" s="382" t="str">
        <f t="shared" si="0"/>
        <v>札幌市中央区南一条西</v>
      </c>
      <c r="BD44" s="382" t="s">
        <v>571</v>
      </c>
      <c r="BE44" s="82" t="s">
        <v>1347</v>
      </c>
      <c r="BF44" s="382"/>
      <c r="BG44" s="1228"/>
      <c r="BH44" s="769">
        <v>45</v>
      </c>
      <c r="BI44" s="382" t="s">
        <v>1538</v>
      </c>
      <c r="BJ44" s="382" t="s">
        <v>1980</v>
      </c>
      <c r="BK44" s="382" t="s">
        <v>1981</v>
      </c>
      <c r="BL44" s="382" t="s">
        <v>1631</v>
      </c>
      <c r="BM44" s="791">
        <v>40872</v>
      </c>
      <c r="BN44" s="764" t="s">
        <v>2435</v>
      </c>
      <c r="BO44" s="764" t="s">
        <v>2436</v>
      </c>
      <c r="BP44" s="344"/>
      <c r="BQ44" s="348"/>
      <c r="BR44" s="346"/>
      <c r="BS44" s="343"/>
      <c r="BT44" s="343"/>
      <c r="BU44" s="346"/>
      <c r="BV44" s="346"/>
      <c r="BW44" s="343"/>
    </row>
    <row r="45" spans="1:75" ht="13.5" customHeight="1">
      <c r="BA45" s="344"/>
      <c r="BB45" s="770">
        <v>600052</v>
      </c>
      <c r="BC45" s="382" t="str">
        <f t="shared" si="0"/>
        <v>札幌市中央区南二条東</v>
      </c>
      <c r="BD45" s="382" t="s">
        <v>571</v>
      </c>
      <c r="BE45" s="82" t="s">
        <v>608</v>
      </c>
      <c r="BF45" s="382"/>
      <c r="BG45" s="1228"/>
      <c r="BH45" s="769">
        <v>46</v>
      </c>
      <c r="BI45" s="382" t="s">
        <v>1537</v>
      </c>
      <c r="BJ45" s="382" t="s">
        <v>1982</v>
      </c>
      <c r="BK45" s="382" t="s">
        <v>1983</v>
      </c>
      <c r="BL45" s="382" t="s">
        <v>1632</v>
      </c>
      <c r="BM45" s="791">
        <v>40875</v>
      </c>
      <c r="BN45" s="764" t="s">
        <v>2437</v>
      </c>
      <c r="BO45" s="764" t="s">
        <v>2438</v>
      </c>
      <c r="BP45" s="344"/>
      <c r="BQ45" s="348"/>
      <c r="BR45" s="346"/>
      <c r="BS45" s="343"/>
      <c r="BT45" s="343"/>
      <c r="BU45" s="346"/>
      <c r="BV45" s="346"/>
      <c r="BW45" s="343"/>
    </row>
    <row r="46" spans="1:75" ht="13.5" customHeight="1">
      <c r="BA46" s="344"/>
      <c r="BB46" s="770">
        <v>600062</v>
      </c>
      <c r="BC46" s="382" t="str">
        <f t="shared" si="0"/>
        <v>札幌市中央区南二条西</v>
      </c>
      <c r="BD46" s="382" t="s">
        <v>571</v>
      </c>
      <c r="BE46" s="82" t="s">
        <v>1346</v>
      </c>
      <c r="BF46" s="382"/>
      <c r="BG46" s="1228"/>
      <c r="BH46" s="769">
        <v>47</v>
      </c>
      <c r="BI46" s="785" t="s">
        <v>1535</v>
      </c>
      <c r="BJ46" s="382" t="s">
        <v>1984</v>
      </c>
      <c r="BK46" s="382" t="s">
        <v>1985</v>
      </c>
      <c r="BL46" s="382" t="s">
        <v>1633</v>
      </c>
      <c r="BM46" s="791">
        <v>40879</v>
      </c>
      <c r="BN46" s="764" t="s">
        <v>2431</v>
      </c>
      <c r="BO46" s="764" t="s">
        <v>2432</v>
      </c>
      <c r="BP46" s="344"/>
      <c r="BQ46" s="348"/>
      <c r="BR46" s="346"/>
      <c r="BS46" s="343"/>
      <c r="BT46" s="343"/>
      <c r="BU46" s="346"/>
      <c r="BV46" s="346"/>
      <c r="BW46" s="343"/>
    </row>
    <row r="47" spans="1:75" ht="13.5" customHeight="1">
      <c r="BA47" s="344"/>
      <c r="BB47" s="770">
        <v>640802</v>
      </c>
      <c r="BC47" s="382" t="str">
        <f t="shared" si="0"/>
        <v>札幌市中央区南二条西</v>
      </c>
      <c r="BD47" s="382" t="s">
        <v>571</v>
      </c>
      <c r="BE47" s="82" t="s">
        <v>1346</v>
      </c>
      <c r="BF47" s="382"/>
      <c r="BG47" s="1228"/>
      <c r="BH47" s="769">
        <v>48</v>
      </c>
      <c r="BI47" s="382" t="s">
        <v>1536</v>
      </c>
      <c r="BJ47" s="382" t="s">
        <v>1986</v>
      </c>
      <c r="BK47" s="382" t="s">
        <v>1987</v>
      </c>
      <c r="BL47" s="382" t="s">
        <v>1634</v>
      </c>
      <c r="BM47" s="791">
        <v>40882</v>
      </c>
      <c r="BN47" s="764" t="s">
        <v>2441</v>
      </c>
      <c r="BO47" s="764" t="s">
        <v>2442</v>
      </c>
      <c r="BP47" s="344"/>
      <c r="BQ47" s="348"/>
      <c r="BR47" s="346"/>
      <c r="BS47" s="343"/>
      <c r="BT47" s="343"/>
      <c r="BU47" s="346"/>
      <c r="BV47" s="346"/>
      <c r="BW47" s="343"/>
    </row>
    <row r="48" spans="1:75" ht="13.5" customHeight="1">
      <c r="BB48" s="770">
        <v>600053</v>
      </c>
      <c r="BC48" s="382" t="str">
        <f t="shared" si="0"/>
        <v>札幌市中央区南三条東</v>
      </c>
      <c r="BD48" s="382" t="s">
        <v>571</v>
      </c>
      <c r="BE48" s="82" t="s">
        <v>609</v>
      </c>
      <c r="BF48" s="382"/>
      <c r="BG48" s="1228"/>
      <c r="BH48" s="769">
        <v>49</v>
      </c>
      <c r="BI48" s="382" t="s">
        <v>1463</v>
      </c>
      <c r="BJ48" s="382" t="s">
        <v>1988</v>
      </c>
      <c r="BK48" s="382" t="s">
        <v>1937</v>
      </c>
      <c r="BL48" s="382" t="s">
        <v>1635</v>
      </c>
      <c r="BM48" s="791">
        <v>40862</v>
      </c>
      <c r="BN48" s="764" t="s">
        <v>2427</v>
      </c>
      <c r="BO48" s="764" t="s">
        <v>2428</v>
      </c>
      <c r="BP48" s="344"/>
      <c r="BQ48" s="348"/>
      <c r="BR48" s="346"/>
      <c r="BS48" s="343"/>
      <c r="BT48" s="343"/>
      <c r="BU48" s="346"/>
      <c r="BV48" s="346"/>
      <c r="BW48" s="343"/>
    </row>
    <row r="49" spans="54:75" ht="13.5" customHeight="1">
      <c r="BB49" s="770">
        <v>600063</v>
      </c>
      <c r="BC49" s="382" t="str">
        <f t="shared" si="0"/>
        <v>札幌市中央区南三条西</v>
      </c>
      <c r="BD49" s="382" t="s">
        <v>571</v>
      </c>
      <c r="BE49" s="82" t="s">
        <v>1345</v>
      </c>
      <c r="BF49" s="382"/>
      <c r="BG49" s="1228"/>
      <c r="BH49" s="769">
        <v>50</v>
      </c>
      <c r="BI49" s="785" t="s">
        <v>1461</v>
      </c>
      <c r="BJ49" s="382" t="s">
        <v>2160</v>
      </c>
      <c r="BK49" s="382" t="s">
        <v>2161</v>
      </c>
      <c r="BL49" s="382" t="s">
        <v>1636</v>
      </c>
      <c r="BM49" s="791">
        <v>40863</v>
      </c>
      <c r="BN49" s="764" t="s">
        <v>2421</v>
      </c>
      <c r="BO49" s="764" t="s">
        <v>2422</v>
      </c>
      <c r="BP49" s="344"/>
      <c r="BQ49" s="348"/>
      <c r="BR49" s="346"/>
      <c r="BS49" s="343"/>
      <c r="BT49" s="343"/>
      <c r="BU49" s="346"/>
      <c r="BV49" s="346"/>
      <c r="BW49" s="343"/>
    </row>
    <row r="50" spans="54:75" ht="13.5" customHeight="1">
      <c r="BB50" s="770">
        <v>640803</v>
      </c>
      <c r="BC50" s="382" t="str">
        <f t="shared" si="0"/>
        <v>札幌市中央区南三条西</v>
      </c>
      <c r="BD50" s="382" t="s">
        <v>571</v>
      </c>
      <c r="BE50" s="82" t="s">
        <v>1345</v>
      </c>
      <c r="BF50" s="382"/>
      <c r="BG50" s="1228"/>
      <c r="BH50" s="769">
        <v>51</v>
      </c>
      <c r="BI50" s="382" t="s">
        <v>1462</v>
      </c>
      <c r="BJ50" s="382" t="s">
        <v>2162</v>
      </c>
      <c r="BK50" s="382" t="s">
        <v>2163</v>
      </c>
      <c r="BL50" s="382" t="s">
        <v>1637</v>
      </c>
      <c r="BM50" s="791">
        <v>40864</v>
      </c>
      <c r="BN50" s="764" t="s">
        <v>2425</v>
      </c>
      <c r="BO50" s="764" t="s">
        <v>2426</v>
      </c>
      <c r="BP50" s="344"/>
      <c r="BQ50" s="348"/>
      <c r="BR50" s="346"/>
      <c r="BS50" s="343"/>
      <c r="BT50" s="343"/>
      <c r="BU50" s="346"/>
      <c r="BV50" s="346"/>
      <c r="BW50" s="343"/>
    </row>
    <row r="51" spans="54:75" ht="13.5" customHeight="1">
      <c r="BB51" s="770">
        <v>600054</v>
      </c>
      <c r="BC51" s="382" t="str">
        <f t="shared" si="0"/>
        <v>札幌市中央区南四条東</v>
      </c>
      <c r="BD51" s="382" t="s">
        <v>571</v>
      </c>
      <c r="BE51" s="82" t="s">
        <v>610</v>
      </c>
      <c r="BF51" s="382"/>
      <c r="BG51" s="1228"/>
      <c r="BH51" s="769">
        <v>52</v>
      </c>
      <c r="BI51" s="382" t="s">
        <v>1445</v>
      </c>
      <c r="BJ51" s="382" t="s">
        <v>2164</v>
      </c>
      <c r="BK51" s="382" t="s">
        <v>2165</v>
      </c>
      <c r="BL51" s="382" t="s">
        <v>1638</v>
      </c>
      <c r="BM51" s="791">
        <v>40821</v>
      </c>
      <c r="BN51" s="764" t="s">
        <v>2417</v>
      </c>
      <c r="BO51" s="764" t="s">
        <v>2418</v>
      </c>
      <c r="BP51" s="344"/>
      <c r="BQ51" s="348"/>
      <c r="BR51" s="346"/>
      <c r="BS51" s="343"/>
      <c r="BT51" s="343"/>
      <c r="BU51" s="346"/>
      <c r="BV51" s="346"/>
      <c r="BW51" s="343"/>
    </row>
    <row r="52" spans="54:75" ht="13.5" customHeight="1">
      <c r="BB52" s="770">
        <v>640804</v>
      </c>
      <c r="BC52" s="382" t="str">
        <f t="shared" si="0"/>
        <v>札幌市中央区南四条西</v>
      </c>
      <c r="BD52" s="382" t="s">
        <v>571</v>
      </c>
      <c r="BE52" s="82" t="s">
        <v>611</v>
      </c>
      <c r="BF52" s="382"/>
      <c r="BG52" s="1228"/>
      <c r="BH52" s="769">
        <v>53</v>
      </c>
      <c r="BI52" s="382" t="s">
        <v>1476</v>
      </c>
      <c r="BJ52" s="382" t="s">
        <v>2166</v>
      </c>
      <c r="BK52" s="382" t="s">
        <v>2167</v>
      </c>
      <c r="BL52" s="382" t="s">
        <v>1639</v>
      </c>
      <c r="BM52" s="791">
        <v>40802</v>
      </c>
      <c r="BN52" s="764" t="s">
        <v>2419</v>
      </c>
      <c r="BO52" s="764" t="s">
        <v>2420</v>
      </c>
      <c r="BP52" s="344"/>
      <c r="BQ52" s="348"/>
      <c r="BR52" s="346"/>
      <c r="BS52" s="343"/>
      <c r="BT52" s="343"/>
      <c r="BU52" s="346"/>
      <c r="BV52" s="346"/>
      <c r="BW52" s="343"/>
    </row>
    <row r="53" spans="54:75" ht="13.5" customHeight="1">
      <c r="BB53" s="770">
        <v>600055</v>
      </c>
      <c r="BC53" s="382" t="str">
        <f t="shared" si="0"/>
        <v>札幌市中央区南五条東</v>
      </c>
      <c r="BD53" s="382" t="s">
        <v>571</v>
      </c>
      <c r="BE53" s="82" t="s">
        <v>612</v>
      </c>
      <c r="BF53" s="382"/>
      <c r="BG53" s="1228" t="s">
        <v>1644</v>
      </c>
      <c r="BH53" s="769">
        <v>54</v>
      </c>
      <c r="BI53" s="785" t="s">
        <v>1498</v>
      </c>
      <c r="BJ53" s="781" t="s">
        <v>2168</v>
      </c>
      <c r="BK53" s="781" t="s">
        <v>2169</v>
      </c>
      <c r="BL53" s="382" t="s">
        <v>1645</v>
      </c>
      <c r="BM53" s="790">
        <v>60043</v>
      </c>
      <c r="BN53" s="764" t="s">
        <v>2303</v>
      </c>
      <c r="BO53" s="764" t="s">
        <v>2304</v>
      </c>
      <c r="BP53" s="344"/>
      <c r="BQ53" s="343"/>
      <c r="BR53" s="343"/>
      <c r="BS53" s="343"/>
      <c r="BT53" s="343"/>
      <c r="BU53" s="343"/>
      <c r="BV53" s="343"/>
      <c r="BW53" s="343"/>
    </row>
    <row r="54" spans="54:75" ht="13.5" customHeight="1">
      <c r="BB54" s="770">
        <v>640805</v>
      </c>
      <c r="BC54" s="382" t="str">
        <f t="shared" si="0"/>
        <v>札幌市中央区南五条西</v>
      </c>
      <c r="BD54" s="382" t="s">
        <v>571</v>
      </c>
      <c r="BE54" s="82" t="s">
        <v>613</v>
      </c>
      <c r="BF54" s="382"/>
      <c r="BG54" s="1228"/>
      <c r="BH54" s="769">
        <v>55</v>
      </c>
      <c r="BI54" s="382" t="s">
        <v>1448</v>
      </c>
      <c r="BJ54" s="382" t="s">
        <v>2170</v>
      </c>
      <c r="BK54" s="382" t="s">
        <v>2171</v>
      </c>
      <c r="BL54" s="382" t="s">
        <v>1646</v>
      </c>
      <c r="BM54" s="791">
        <v>60034</v>
      </c>
      <c r="BN54" s="764" t="s">
        <v>2319</v>
      </c>
      <c r="BO54" s="764" t="s">
        <v>2320</v>
      </c>
      <c r="BP54" s="344"/>
    </row>
    <row r="55" spans="54:75" ht="13.5" customHeight="1">
      <c r="BB55" s="770">
        <v>600056</v>
      </c>
      <c r="BC55" s="382" t="str">
        <f t="shared" si="0"/>
        <v>札幌市中央区南六条東</v>
      </c>
      <c r="BD55" s="382" t="s">
        <v>571</v>
      </c>
      <c r="BE55" s="82" t="s">
        <v>614</v>
      </c>
      <c r="BF55" s="382"/>
      <c r="BG55" s="1228"/>
      <c r="BH55" s="769">
        <v>56</v>
      </c>
      <c r="BI55" s="382" t="s">
        <v>1640</v>
      </c>
      <c r="BJ55" s="382" t="s">
        <v>2172</v>
      </c>
      <c r="BK55" s="382" t="s">
        <v>2173</v>
      </c>
      <c r="BL55" s="382" t="s">
        <v>1647</v>
      </c>
      <c r="BM55" s="791">
        <v>60860</v>
      </c>
      <c r="BN55" s="764" t="s">
        <v>2305</v>
      </c>
      <c r="BO55" s="764" t="s">
        <v>2306</v>
      </c>
      <c r="BP55" s="344"/>
    </row>
    <row r="56" spans="54:75" ht="13.5" customHeight="1">
      <c r="BB56" s="770">
        <v>640806</v>
      </c>
      <c r="BC56" s="382" t="str">
        <f t="shared" si="0"/>
        <v>札幌市中央区南六条西</v>
      </c>
      <c r="BD56" s="382" t="s">
        <v>571</v>
      </c>
      <c r="BE56" s="82" t="s">
        <v>615</v>
      </c>
      <c r="BF56" s="382"/>
      <c r="BG56" s="1228"/>
      <c r="BH56" s="769">
        <v>57</v>
      </c>
      <c r="BI56" s="785" t="s">
        <v>1497</v>
      </c>
      <c r="BJ56" s="382" t="s">
        <v>2174</v>
      </c>
      <c r="BK56" s="382" t="s">
        <v>2175</v>
      </c>
      <c r="BL56" s="382" t="s">
        <v>1648</v>
      </c>
      <c r="BM56" s="791">
        <v>60812</v>
      </c>
      <c r="BN56" s="764" t="s">
        <v>2307</v>
      </c>
      <c r="BO56" s="764" t="s">
        <v>2308</v>
      </c>
      <c r="BP56" s="344"/>
    </row>
    <row r="57" spans="54:75" ht="13.5" customHeight="1">
      <c r="BB57" s="770">
        <v>600057</v>
      </c>
      <c r="BC57" s="382" t="str">
        <f t="shared" si="0"/>
        <v>札幌市中央区南七条東</v>
      </c>
      <c r="BD57" s="382" t="s">
        <v>571</v>
      </c>
      <c r="BE57" s="82" t="s">
        <v>616</v>
      </c>
      <c r="BF57" s="382"/>
      <c r="BG57" s="1228"/>
      <c r="BH57" s="769">
        <v>58</v>
      </c>
      <c r="BI57" s="785" t="s">
        <v>1641</v>
      </c>
      <c r="BJ57" s="382" t="s">
        <v>2176</v>
      </c>
      <c r="BK57" s="382" t="s">
        <v>2177</v>
      </c>
      <c r="BL57" s="382" t="s">
        <v>1649</v>
      </c>
      <c r="BM57" s="791">
        <v>60023</v>
      </c>
      <c r="BN57" s="764" t="s">
        <v>2301</v>
      </c>
      <c r="BO57" s="764" t="s">
        <v>2302</v>
      </c>
      <c r="BP57" s="344"/>
    </row>
    <row r="58" spans="54:75" ht="13.5" customHeight="1">
      <c r="BB58" s="770">
        <v>640807</v>
      </c>
      <c r="BC58" s="382" t="str">
        <f t="shared" si="0"/>
        <v>札幌市中央区南七条西</v>
      </c>
      <c r="BD58" s="382" t="s">
        <v>571</v>
      </c>
      <c r="BE58" s="82" t="s">
        <v>617</v>
      </c>
      <c r="BF58" s="382"/>
      <c r="BG58" s="1228"/>
      <c r="BH58" s="769">
        <v>59</v>
      </c>
      <c r="BI58" s="785" t="s">
        <v>1642</v>
      </c>
      <c r="BJ58" s="382" t="s">
        <v>2178</v>
      </c>
      <c r="BK58" s="382" t="s">
        <v>2179</v>
      </c>
      <c r="BL58" s="382" t="s">
        <v>1650</v>
      </c>
      <c r="BM58" s="791">
        <v>60841</v>
      </c>
      <c r="BN58" s="764" t="s">
        <v>2309</v>
      </c>
      <c r="BO58" s="764" t="s">
        <v>2310</v>
      </c>
      <c r="BP58" s="344"/>
    </row>
    <row r="59" spans="54:75" ht="13.5" customHeight="1">
      <c r="BB59" s="770">
        <v>640808</v>
      </c>
      <c r="BC59" s="382" t="str">
        <f t="shared" si="0"/>
        <v>札幌市中央区南八条西</v>
      </c>
      <c r="BD59" s="382" t="s">
        <v>571</v>
      </c>
      <c r="BE59" s="82" t="s">
        <v>618</v>
      </c>
      <c r="BF59" s="382"/>
      <c r="BG59" s="1228"/>
      <c r="BH59" s="769">
        <v>60</v>
      </c>
      <c r="BI59" s="382" t="s">
        <v>1485</v>
      </c>
      <c r="BJ59" s="382" t="s">
        <v>2180</v>
      </c>
      <c r="BK59" s="382" t="s">
        <v>2181</v>
      </c>
      <c r="BL59" s="382" t="s">
        <v>1651</v>
      </c>
      <c r="BM59" s="791">
        <v>60802</v>
      </c>
      <c r="BN59" s="764" t="s">
        <v>2325</v>
      </c>
      <c r="BO59" s="764" t="s">
        <v>2326</v>
      </c>
      <c r="BP59" s="344"/>
    </row>
    <row r="60" spans="54:75" ht="13.5" customHeight="1">
      <c r="BB60" s="770">
        <v>640809</v>
      </c>
      <c r="BC60" s="382" t="str">
        <f t="shared" si="0"/>
        <v>札幌市中央区南九条西</v>
      </c>
      <c r="BD60" s="382" t="s">
        <v>571</v>
      </c>
      <c r="BE60" s="82" t="s">
        <v>619</v>
      </c>
      <c r="BF60" s="382"/>
      <c r="BG60" s="1228"/>
      <c r="BH60" s="769">
        <v>61</v>
      </c>
      <c r="BI60" s="382" t="s">
        <v>1488</v>
      </c>
      <c r="BJ60" s="382" t="s">
        <v>2182</v>
      </c>
      <c r="BK60" s="382" t="s">
        <v>2183</v>
      </c>
      <c r="BL60" s="382" t="s">
        <v>1652</v>
      </c>
      <c r="BM60" s="791">
        <v>60805</v>
      </c>
      <c r="BN60" s="764" t="s">
        <v>2330</v>
      </c>
      <c r="BO60" s="764" t="s">
        <v>2329</v>
      </c>
      <c r="BP60" s="344"/>
    </row>
    <row r="61" spans="54:75" ht="13.5" customHeight="1">
      <c r="BB61" s="770">
        <v>640810</v>
      </c>
      <c r="BC61" s="382" t="str">
        <f t="shared" si="0"/>
        <v>札幌市中央区南十条西</v>
      </c>
      <c r="BD61" s="382" t="s">
        <v>571</v>
      </c>
      <c r="BE61" s="82" t="s">
        <v>620</v>
      </c>
      <c r="BF61" s="382"/>
      <c r="BG61" s="1228"/>
      <c r="BH61" s="769">
        <v>62</v>
      </c>
      <c r="BI61" s="382" t="s">
        <v>1487</v>
      </c>
      <c r="BJ61" s="382" t="s">
        <v>2184</v>
      </c>
      <c r="BK61" s="382" t="s">
        <v>2185</v>
      </c>
      <c r="BL61" s="382" t="s">
        <v>1653</v>
      </c>
      <c r="BM61" s="791">
        <v>60806</v>
      </c>
      <c r="BN61" s="764" t="s">
        <v>2317</v>
      </c>
      <c r="BO61" s="764" t="s">
        <v>2318</v>
      </c>
      <c r="BP61" s="344"/>
    </row>
    <row r="62" spans="54:75" ht="13.5" customHeight="1">
      <c r="BB62" s="770">
        <v>640811</v>
      </c>
      <c r="BC62" s="382" t="str">
        <f t="shared" si="0"/>
        <v>札幌市中央区南十一条西</v>
      </c>
      <c r="BD62" s="382" t="s">
        <v>571</v>
      </c>
      <c r="BE62" s="82" t="s">
        <v>621</v>
      </c>
      <c r="BF62" s="382"/>
      <c r="BG62" s="1228"/>
      <c r="BH62" s="769">
        <v>63</v>
      </c>
      <c r="BI62" s="382" t="s">
        <v>1555</v>
      </c>
      <c r="BJ62" s="382" t="s">
        <v>2186</v>
      </c>
      <c r="BK62" s="382" t="s">
        <v>2187</v>
      </c>
      <c r="BL62" s="382" t="s">
        <v>1654</v>
      </c>
      <c r="BM62" s="791">
        <v>60852</v>
      </c>
      <c r="BN62" s="764" t="s">
        <v>2331</v>
      </c>
      <c r="BO62" s="764" t="s">
        <v>2332</v>
      </c>
      <c r="BP62" s="344"/>
    </row>
    <row r="63" spans="54:75" ht="13.5" customHeight="1">
      <c r="BB63" s="770">
        <v>640912</v>
      </c>
      <c r="BC63" s="382" t="str">
        <f t="shared" ref="BC63:BC126" si="1">BD63&amp;BE63</f>
        <v>札幌市中央区南十二条西</v>
      </c>
      <c r="BD63" s="382" t="s">
        <v>571</v>
      </c>
      <c r="BE63" s="82" t="s">
        <v>622</v>
      </c>
      <c r="BF63" s="382"/>
      <c r="BG63" s="1228"/>
      <c r="BH63" s="769">
        <v>64</v>
      </c>
      <c r="BI63" s="382" t="s">
        <v>1643</v>
      </c>
      <c r="BJ63" s="382" t="s">
        <v>2188</v>
      </c>
      <c r="BK63" s="382" t="s">
        <v>2189</v>
      </c>
      <c r="BL63" s="382" t="s">
        <v>1655</v>
      </c>
      <c r="BM63" s="791">
        <v>60002</v>
      </c>
      <c r="BN63" s="764" t="s">
        <v>2327</v>
      </c>
      <c r="BO63" s="764" t="s">
        <v>2328</v>
      </c>
      <c r="BP63" s="344"/>
    </row>
    <row r="64" spans="54:75" ht="13.5" customHeight="1">
      <c r="BB64" s="770">
        <v>640913</v>
      </c>
      <c r="BC64" s="382" t="str">
        <f t="shared" si="1"/>
        <v>札幌市中央区南十三条西</v>
      </c>
      <c r="BD64" s="382" t="s">
        <v>571</v>
      </c>
      <c r="BE64" s="82" t="s">
        <v>623</v>
      </c>
      <c r="BF64" s="382"/>
      <c r="BG64" s="1228"/>
      <c r="BH64" s="769">
        <v>65</v>
      </c>
      <c r="BI64" s="382" t="s">
        <v>1561</v>
      </c>
      <c r="BJ64" s="382" t="s">
        <v>2190</v>
      </c>
      <c r="BK64" s="382" t="s">
        <v>2191</v>
      </c>
      <c r="BL64" s="382" t="s">
        <v>1656</v>
      </c>
      <c r="BM64" s="791">
        <v>60852</v>
      </c>
      <c r="BN64" s="764" t="s">
        <v>2315</v>
      </c>
      <c r="BO64" s="764" t="s">
        <v>2316</v>
      </c>
      <c r="BP64" s="344"/>
    </row>
    <row r="65" spans="54:74" ht="13.5" customHeight="1">
      <c r="BB65" s="770">
        <v>640914</v>
      </c>
      <c r="BC65" s="382" t="str">
        <f t="shared" si="1"/>
        <v>札幌市中央区南十四条西</v>
      </c>
      <c r="BD65" s="382" t="s">
        <v>571</v>
      </c>
      <c r="BE65" s="82" t="s">
        <v>624</v>
      </c>
      <c r="BF65" s="382"/>
      <c r="BG65" s="1228"/>
      <c r="BH65" s="769">
        <v>66</v>
      </c>
      <c r="BI65" s="382" t="s">
        <v>1447</v>
      </c>
      <c r="BJ65" s="382" t="s">
        <v>2192</v>
      </c>
      <c r="BK65" s="382" t="s">
        <v>1940</v>
      </c>
      <c r="BL65" s="382" t="s">
        <v>1657</v>
      </c>
      <c r="BM65" s="791">
        <v>60815</v>
      </c>
      <c r="BN65" s="764" t="s">
        <v>2323</v>
      </c>
      <c r="BO65" s="764" t="s">
        <v>2324</v>
      </c>
      <c r="BP65" s="344"/>
    </row>
    <row r="66" spans="54:74" ht="13.5" customHeight="1">
      <c r="BB66" s="770">
        <v>640915</v>
      </c>
      <c r="BC66" s="382" t="str">
        <f t="shared" si="1"/>
        <v>札幌市中央区南十五条西</v>
      </c>
      <c r="BD66" s="382" t="s">
        <v>571</v>
      </c>
      <c r="BE66" s="82" t="s">
        <v>625</v>
      </c>
      <c r="BF66" s="382"/>
      <c r="BG66" s="1228"/>
      <c r="BH66" s="769">
        <v>67</v>
      </c>
      <c r="BI66" s="382" t="s">
        <v>1560</v>
      </c>
      <c r="BJ66" s="382" t="s">
        <v>2193</v>
      </c>
      <c r="BK66" s="382" t="s">
        <v>2194</v>
      </c>
      <c r="BL66" s="382" t="s">
        <v>1658</v>
      </c>
      <c r="BM66" s="791">
        <v>60816</v>
      </c>
      <c r="BN66" s="764" t="s">
        <v>2313</v>
      </c>
      <c r="BO66" s="764" t="s">
        <v>2314</v>
      </c>
      <c r="BP66" s="344"/>
    </row>
    <row r="67" spans="54:74" ht="13.5" customHeight="1">
      <c r="BB67" s="770">
        <v>640916</v>
      </c>
      <c r="BC67" s="382" t="str">
        <f t="shared" si="1"/>
        <v>札幌市中央区南十六条西</v>
      </c>
      <c r="BD67" s="382" t="s">
        <v>571</v>
      </c>
      <c r="BE67" s="82" t="s">
        <v>626</v>
      </c>
      <c r="BF67" s="382"/>
      <c r="BG67" s="1228"/>
      <c r="BH67" s="769">
        <v>68</v>
      </c>
      <c r="BI67" s="382" t="s">
        <v>1562</v>
      </c>
      <c r="BJ67" s="382" t="s">
        <v>2195</v>
      </c>
      <c r="BK67" s="382" t="s">
        <v>2196</v>
      </c>
      <c r="BL67" s="382" t="s">
        <v>1659</v>
      </c>
      <c r="BM67" s="791">
        <v>60818</v>
      </c>
      <c r="BN67" s="764" t="s">
        <v>2321</v>
      </c>
      <c r="BO67" s="764" t="s">
        <v>2322</v>
      </c>
      <c r="BP67" s="344"/>
    </row>
    <row r="68" spans="54:74" ht="13.5" customHeight="1">
      <c r="BB68" s="770">
        <v>640917</v>
      </c>
      <c r="BC68" s="382" t="str">
        <f t="shared" si="1"/>
        <v>札幌市中央区南十七条西</v>
      </c>
      <c r="BD68" s="382" t="s">
        <v>571</v>
      </c>
      <c r="BE68" s="82" t="s">
        <v>627</v>
      </c>
      <c r="BF68" s="382"/>
      <c r="BG68" s="1228"/>
      <c r="BH68" s="769">
        <v>69</v>
      </c>
      <c r="BI68" s="382" t="s">
        <v>1503</v>
      </c>
      <c r="BJ68" s="382" t="s">
        <v>2197</v>
      </c>
      <c r="BK68" s="382" t="s">
        <v>2198</v>
      </c>
      <c r="BL68" s="382" t="s">
        <v>1660</v>
      </c>
      <c r="BM68" s="791">
        <v>60011</v>
      </c>
      <c r="BN68" s="764" t="s">
        <v>2311</v>
      </c>
      <c r="BO68" s="764" t="s">
        <v>2312</v>
      </c>
      <c r="BP68" s="344"/>
    </row>
    <row r="69" spans="54:74" ht="13.5" customHeight="1">
      <c r="BB69" s="770">
        <v>640918</v>
      </c>
      <c r="BC69" s="382" t="str">
        <f t="shared" si="1"/>
        <v>札幌市中央区南十八条西</v>
      </c>
      <c r="BD69" s="382" t="s">
        <v>571</v>
      </c>
      <c r="BE69" s="82" t="s">
        <v>628</v>
      </c>
      <c r="BF69" s="382"/>
      <c r="BG69" s="1228" t="s">
        <v>1666</v>
      </c>
      <c r="BH69" s="82">
        <v>70</v>
      </c>
      <c r="BI69" s="382" t="s">
        <v>1579</v>
      </c>
      <c r="BJ69" s="781" t="s">
        <v>2249</v>
      </c>
      <c r="BK69" s="781" t="s">
        <v>2250</v>
      </c>
      <c r="BL69" s="382" t="s">
        <v>1667</v>
      </c>
      <c r="BM69" s="788">
        <v>40013</v>
      </c>
      <c r="BN69" s="764" t="s">
        <v>2465</v>
      </c>
      <c r="BO69" s="764" t="s">
        <v>2466</v>
      </c>
      <c r="BP69" s="344"/>
      <c r="BQ69" s="348"/>
      <c r="BR69" s="346"/>
      <c r="BS69" s="346"/>
      <c r="BT69" s="346"/>
      <c r="BU69" s="346"/>
      <c r="BV69" s="346"/>
    </row>
    <row r="70" spans="54:74" ht="13.5" customHeight="1">
      <c r="BB70" s="770">
        <v>640919</v>
      </c>
      <c r="BC70" s="382" t="str">
        <f t="shared" si="1"/>
        <v>札幌市中央区南十九条西</v>
      </c>
      <c r="BD70" s="382" t="s">
        <v>571</v>
      </c>
      <c r="BE70" s="82" t="s">
        <v>629</v>
      </c>
      <c r="BF70" s="382"/>
      <c r="BG70" s="1228"/>
      <c r="BH70" s="769">
        <v>71</v>
      </c>
      <c r="BI70" s="382" t="s">
        <v>1578</v>
      </c>
      <c r="BJ70" s="781" t="s">
        <v>2251</v>
      </c>
      <c r="BK70" s="781" t="s">
        <v>2252</v>
      </c>
      <c r="BL70" s="382" t="s">
        <v>1668</v>
      </c>
      <c r="BM70" s="788">
        <v>40011</v>
      </c>
      <c r="BN70" s="764" t="s">
        <v>2463</v>
      </c>
      <c r="BO70" s="764" t="s">
        <v>2464</v>
      </c>
      <c r="BP70" s="344"/>
      <c r="BQ70" s="348"/>
      <c r="BR70" s="346"/>
      <c r="BS70" s="346"/>
      <c r="BT70" s="346"/>
      <c r="BU70" s="346"/>
      <c r="BV70" s="346"/>
    </row>
    <row r="71" spans="54:74" ht="13.5" customHeight="1">
      <c r="BB71" s="770">
        <v>640920</v>
      </c>
      <c r="BC71" s="382" t="str">
        <f t="shared" si="1"/>
        <v>札幌市中央区南二十条西</v>
      </c>
      <c r="BD71" s="382" t="s">
        <v>571</v>
      </c>
      <c r="BE71" s="82" t="s">
        <v>630</v>
      </c>
      <c r="BF71" s="382"/>
      <c r="BG71" s="1228"/>
      <c r="BH71" s="769">
        <v>72</v>
      </c>
      <c r="BI71" s="785" t="s">
        <v>1661</v>
      </c>
      <c r="BJ71" s="781" t="s">
        <v>2253</v>
      </c>
      <c r="BK71" s="781" t="s">
        <v>2254</v>
      </c>
      <c r="BL71" s="382" t="s">
        <v>1669</v>
      </c>
      <c r="BM71" s="788">
        <v>40063</v>
      </c>
      <c r="BN71" s="764" t="s">
        <v>2453</v>
      </c>
      <c r="BO71" s="764" t="s">
        <v>2454</v>
      </c>
      <c r="BP71" s="344"/>
      <c r="BQ71" s="348"/>
      <c r="BR71" s="346"/>
      <c r="BS71" s="346"/>
      <c r="BT71" s="346"/>
      <c r="BU71" s="346"/>
      <c r="BV71" s="346"/>
    </row>
    <row r="72" spans="54:74" ht="13.5" customHeight="1">
      <c r="BB72" s="770">
        <v>640921</v>
      </c>
      <c r="BC72" s="382" t="str">
        <f t="shared" si="1"/>
        <v>札幌市中央区南二十一条西</v>
      </c>
      <c r="BD72" s="382" t="s">
        <v>571</v>
      </c>
      <c r="BE72" s="82" t="s">
        <v>631</v>
      </c>
      <c r="BF72" s="382"/>
      <c r="BG72" s="1228"/>
      <c r="BH72" s="769">
        <v>73</v>
      </c>
      <c r="BI72" s="785" t="s">
        <v>1441</v>
      </c>
      <c r="BJ72" s="781" t="s">
        <v>2255</v>
      </c>
      <c r="BK72" s="781" t="s">
        <v>2256</v>
      </c>
      <c r="BL72" s="382" t="s">
        <v>1670</v>
      </c>
      <c r="BM72" s="788">
        <v>40064</v>
      </c>
      <c r="BN72" s="764" t="s">
        <v>2459</v>
      </c>
      <c r="BO72" s="764" t="s">
        <v>2460</v>
      </c>
      <c r="BP72" s="344"/>
      <c r="BQ72" s="348"/>
      <c r="BR72" s="346"/>
      <c r="BS72" s="343"/>
      <c r="BT72" s="343"/>
      <c r="BU72" s="346"/>
      <c r="BV72" s="346"/>
    </row>
    <row r="73" spans="54:74" ht="13.5" customHeight="1">
      <c r="BB73" s="770">
        <v>640922</v>
      </c>
      <c r="BC73" s="382" t="str">
        <f t="shared" si="1"/>
        <v>札幌市中央区南二十二条西</v>
      </c>
      <c r="BD73" s="382" t="s">
        <v>571</v>
      </c>
      <c r="BE73" s="82" t="s">
        <v>632</v>
      </c>
      <c r="BF73" s="382"/>
      <c r="BG73" s="1228"/>
      <c r="BH73" s="769">
        <v>74</v>
      </c>
      <c r="BI73" s="785" t="s">
        <v>1662</v>
      </c>
      <c r="BJ73" s="781" t="s">
        <v>2257</v>
      </c>
      <c r="BK73" s="781" t="s">
        <v>2258</v>
      </c>
      <c r="BL73" s="382" t="s">
        <v>1671</v>
      </c>
      <c r="BM73" s="788">
        <v>40052</v>
      </c>
      <c r="BN73" s="764" t="s">
        <v>2451</v>
      </c>
      <c r="BO73" s="764" t="s">
        <v>2452</v>
      </c>
      <c r="BP73" s="344"/>
      <c r="BQ73" s="348"/>
      <c r="BR73" s="346"/>
      <c r="BS73" s="343"/>
      <c r="BT73" s="343"/>
      <c r="BU73" s="346"/>
      <c r="BV73" s="346"/>
    </row>
    <row r="74" spans="54:74" ht="13.5" customHeight="1">
      <c r="BB74" s="770">
        <v>640923</v>
      </c>
      <c r="BC74" s="382" t="str">
        <f t="shared" si="1"/>
        <v>札幌市中央区南二十三条西</v>
      </c>
      <c r="BD74" s="382" t="s">
        <v>571</v>
      </c>
      <c r="BE74" s="82" t="s">
        <v>633</v>
      </c>
      <c r="BF74" s="382"/>
      <c r="BG74" s="1228"/>
      <c r="BH74" s="769">
        <v>75</v>
      </c>
      <c r="BI74" s="382" t="s">
        <v>1478</v>
      </c>
      <c r="BJ74" s="781" t="s">
        <v>2259</v>
      </c>
      <c r="BK74" s="781" t="s">
        <v>2260</v>
      </c>
      <c r="BL74" s="382" t="s">
        <v>1672</v>
      </c>
      <c r="BM74" s="788">
        <v>40054</v>
      </c>
      <c r="BN74" s="764" t="s">
        <v>2445</v>
      </c>
      <c r="BO74" s="764" t="s">
        <v>2446</v>
      </c>
      <c r="BP74" s="344"/>
      <c r="BQ74" s="348"/>
      <c r="BR74" s="346"/>
      <c r="BS74" s="343"/>
      <c r="BT74" s="343"/>
      <c r="BU74" s="346"/>
      <c r="BV74" s="346"/>
    </row>
    <row r="75" spans="54:74" ht="13.5" customHeight="1">
      <c r="BB75" s="770">
        <v>640924</v>
      </c>
      <c r="BC75" s="382" t="str">
        <f t="shared" si="1"/>
        <v>札幌市中央区南二十四条西</v>
      </c>
      <c r="BD75" s="382" t="s">
        <v>571</v>
      </c>
      <c r="BE75" s="82" t="s">
        <v>634</v>
      </c>
      <c r="BF75" s="382"/>
      <c r="BG75" s="1228"/>
      <c r="BH75" s="769">
        <v>76</v>
      </c>
      <c r="BI75" s="382" t="s">
        <v>1663</v>
      </c>
      <c r="BJ75" s="781" t="s">
        <v>2261</v>
      </c>
      <c r="BK75" s="781" t="s">
        <v>2262</v>
      </c>
      <c r="BL75" s="382" t="s">
        <v>1673</v>
      </c>
      <c r="BM75" s="788">
        <v>40002</v>
      </c>
      <c r="BN75" s="764" t="s">
        <v>2447</v>
      </c>
      <c r="BO75" s="764" t="s">
        <v>2448</v>
      </c>
      <c r="BP75" s="344"/>
      <c r="BQ75" s="348"/>
      <c r="BR75" s="346"/>
      <c r="BS75" s="343"/>
      <c r="BT75" s="343"/>
      <c r="BU75" s="346"/>
      <c r="BV75" s="346"/>
    </row>
    <row r="76" spans="54:74" ht="13.5" customHeight="1">
      <c r="BB76" s="770">
        <v>640925</v>
      </c>
      <c r="BC76" s="382" t="str">
        <f t="shared" si="1"/>
        <v>札幌市中央区南二十五条西</v>
      </c>
      <c r="BD76" s="382" t="s">
        <v>571</v>
      </c>
      <c r="BE76" s="82" t="s">
        <v>635</v>
      </c>
      <c r="BF76" s="382"/>
      <c r="BG76" s="1228"/>
      <c r="BH76" s="769">
        <v>77</v>
      </c>
      <c r="BI76" s="785" t="s">
        <v>1442</v>
      </c>
      <c r="BJ76" s="781" t="s">
        <v>2263</v>
      </c>
      <c r="BK76" s="781" t="s">
        <v>2264</v>
      </c>
      <c r="BL76" s="382" t="s">
        <v>1674</v>
      </c>
      <c r="BM76" s="788">
        <v>40004</v>
      </c>
      <c r="BN76" s="764" t="s">
        <v>2461</v>
      </c>
      <c r="BO76" s="764" t="s">
        <v>2462</v>
      </c>
      <c r="BP76" s="344"/>
      <c r="BQ76" s="348"/>
      <c r="BR76" s="346"/>
      <c r="BS76" s="343"/>
      <c r="BT76" s="343"/>
      <c r="BU76" s="346"/>
      <c r="BV76" s="346"/>
    </row>
    <row r="77" spans="54:74" ht="13.5" customHeight="1">
      <c r="BB77" s="770">
        <v>640926</v>
      </c>
      <c r="BC77" s="382" t="str">
        <f t="shared" si="1"/>
        <v>札幌市中央区南二十六条西</v>
      </c>
      <c r="BD77" s="382" t="s">
        <v>571</v>
      </c>
      <c r="BE77" s="82" t="s">
        <v>636</v>
      </c>
      <c r="BF77" s="382"/>
      <c r="BG77" s="1228"/>
      <c r="BH77" s="769">
        <v>78</v>
      </c>
      <c r="BI77" s="382" t="s">
        <v>1664</v>
      </c>
      <c r="BJ77" s="781" t="s">
        <v>2265</v>
      </c>
      <c r="BK77" s="781" t="s">
        <v>2266</v>
      </c>
      <c r="BL77" s="382" t="s">
        <v>1675</v>
      </c>
      <c r="BM77" s="788">
        <v>40022</v>
      </c>
      <c r="BN77" s="764" t="s">
        <v>2449</v>
      </c>
      <c r="BO77" s="764" t="s">
        <v>2450</v>
      </c>
      <c r="BP77" s="344"/>
      <c r="BQ77" s="348"/>
      <c r="BR77" s="346"/>
      <c r="BS77" s="343"/>
      <c r="BT77" s="343"/>
      <c r="BU77" s="346"/>
      <c r="BV77" s="346"/>
    </row>
    <row r="78" spans="54:74" ht="13.5" customHeight="1">
      <c r="BB78" s="770">
        <v>640927</v>
      </c>
      <c r="BC78" s="382" t="str">
        <f t="shared" si="1"/>
        <v>札幌市中央区南二十七条西</v>
      </c>
      <c r="BD78" s="382" t="s">
        <v>571</v>
      </c>
      <c r="BE78" s="82" t="s">
        <v>637</v>
      </c>
      <c r="BF78" s="382"/>
      <c r="BG78" s="1228"/>
      <c r="BH78" s="769">
        <v>79</v>
      </c>
      <c r="BI78" s="785"/>
      <c r="BJ78" s="781"/>
      <c r="BK78" s="781"/>
      <c r="BL78" s="382"/>
      <c r="BM78" s="788"/>
      <c r="BN78" s="766"/>
      <c r="BO78" s="382"/>
      <c r="BP78" s="344"/>
      <c r="BQ78" s="348"/>
      <c r="BR78" s="346"/>
      <c r="BS78" s="343"/>
      <c r="BT78" s="343"/>
      <c r="BU78" s="346"/>
      <c r="BV78" s="346"/>
    </row>
    <row r="79" spans="54:74" ht="13.5" customHeight="1">
      <c r="BB79" s="770">
        <v>640928</v>
      </c>
      <c r="BC79" s="382" t="str">
        <f t="shared" si="1"/>
        <v>札幌市中央区南二十八条西</v>
      </c>
      <c r="BD79" s="382" t="s">
        <v>571</v>
      </c>
      <c r="BE79" s="82" t="s">
        <v>638</v>
      </c>
      <c r="BF79" s="382"/>
      <c r="BG79" s="1228"/>
      <c r="BH79" s="769">
        <v>80</v>
      </c>
      <c r="BI79" s="382" t="s">
        <v>1665</v>
      </c>
      <c r="BJ79" s="781" t="s">
        <v>2267</v>
      </c>
      <c r="BK79" s="781" t="s">
        <v>2268</v>
      </c>
      <c r="BL79" s="382" t="s">
        <v>1676</v>
      </c>
      <c r="BM79" s="788">
        <v>40072</v>
      </c>
      <c r="BN79" s="764" t="s">
        <v>2455</v>
      </c>
      <c r="BO79" s="764" t="s">
        <v>2456</v>
      </c>
      <c r="BP79" s="344"/>
      <c r="BQ79" s="348"/>
      <c r="BR79" s="346"/>
      <c r="BS79" s="343"/>
      <c r="BT79" s="343"/>
      <c r="BU79" s="346"/>
      <c r="BV79" s="346"/>
    </row>
    <row r="80" spans="54:74" ht="13.5" customHeight="1">
      <c r="BB80" s="770">
        <v>640929</v>
      </c>
      <c r="BC80" s="382" t="str">
        <f t="shared" si="1"/>
        <v>札幌市中央区南二十九条西</v>
      </c>
      <c r="BD80" s="382" t="s">
        <v>571</v>
      </c>
      <c r="BE80" s="82" t="s">
        <v>639</v>
      </c>
      <c r="BF80" s="382"/>
      <c r="BG80" s="1228"/>
      <c r="BH80" s="769">
        <v>81</v>
      </c>
      <c r="BI80" s="785" t="s">
        <v>2471</v>
      </c>
      <c r="BJ80" s="781" t="s">
        <v>2474</v>
      </c>
      <c r="BK80" s="781" t="s">
        <v>2473</v>
      </c>
      <c r="BL80" s="382" t="s">
        <v>2472</v>
      </c>
      <c r="BM80" s="788">
        <v>40032</v>
      </c>
      <c r="BN80" s="764" t="s">
        <v>2467</v>
      </c>
      <c r="BO80" s="764" t="s">
        <v>2468</v>
      </c>
      <c r="BP80" s="344"/>
      <c r="BQ80" s="348"/>
      <c r="BR80" s="346"/>
      <c r="BS80" s="343"/>
      <c r="BT80" s="343"/>
      <c r="BU80" s="346"/>
      <c r="BV80" s="346"/>
    </row>
    <row r="81" spans="54:74" ht="13.5" customHeight="1">
      <c r="BB81" s="770">
        <v>640930</v>
      </c>
      <c r="BC81" s="382" t="str">
        <f t="shared" si="1"/>
        <v>札幌市中央区南三十条西</v>
      </c>
      <c r="BD81" s="382" t="s">
        <v>571</v>
      </c>
      <c r="BE81" s="82" t="s">
        <v>1344</v>
      </c>
      <c r="BF81" s="382"/>
      <c r="BG81" s="1228"/>
      <c r="BH81" s="769">
        <v>82</v>
      </c>
      <c r="BI81" s="785" t="s">
        <v>2476</v>
      </c>
      <c r="BJ81" s="781" t="s">
        <v>2478</v>
      </c>
      <c r="BK81" s="781" t="s">
        <v>2479</v>
      </c>
      <c r="BL81" s="382" t="s">
        <v>2477</v>
      </c>
      <c r="BM81" s="790" t="s">
        <v>2475</v>
      </c>
      <c r="BN81" s="764" t="s">
        <v>2469</v>
      </c>
      <c r="BO81" s="764" t="s">
        <v>2470</v>
      </c>
      <c r="BP81" s="344"/>
      <c r="BQ81" s="348"/>
      <c r="BR81" s="346"/>
      <c r="BS81" s="343"/>
      <c r="BT81" s="343"/>
      <c r="BU81" s="346"/>
      <c r="BV81" s="346"/>
    </row>
    <row r="82" spans="54:74" ht="13.5" customHeight="1">
      <c r="BB82" s="770">
        <v>640959</v>
      </c>
      <c r="BC82" s="382" t="str">
        <f t="shared" si="1"/>
        <v>札幌市中央区宮ケ丘</v>
      </c>
      <c r="BD82" s="382" t="s">
        <v>571</v>
      </c>
      <c r="BE82" s="82" t="s">
        <v>640</v>
      </c>
      <c r="BF82" s="382"/>
      <c r="BG82" s="1228"/>
      <c r="BH82" s="769">
        <v>83</v>
      </c>
      <c r="BI82" s="382"/>
      <c r="BJ82" s="792"/>
      <c r="BK82" s="792"/>
      <c r="BL82" s="382"/>
      <c r="BM82" s="788"/>
      <c r="BN82" s="766"/>
      <c r="BO82" s="382"/>
      <c r="BP82" s="344"/>
      <c r="BQ82" s="343"/>
      <c r="BR82" s="343"/>
      <c r="BS82" s="343"/>
      <c r="BT82" s="343"/>
      <c r="BU82" s="343"/>
      <c r="BV82" s="343"/>
    </row>
    <row r="83" spans="54:74" ht="13.5" customHeight="1">
      <c r="BB83" s="770">
        <v>640958</v>
      </c>
      <c r="BC83" s="382" t="str">
        <f t="shared" si="1"/>
        <v>札幌市中央区宮の森</v>
      </c>
      <c r="BD83" s="382" t="s">
        <v>571</v>
      </c>
      <c r="BE83" s="82" t="s">
        <v>641</v>
      </c>
      <c r="BF83" s="382"/>
      <c r="BG83" s="1228"/>
      <c r="BH83" s="769">
        <v>84</v>
      </c>
      <c r="BI83" s="785" t="s">
        <v>1452</v>
      </c>
      <c r="BJ83" s="781" t="s">
        <v>2269</v>
      </c>
      <c r="BK83" s="781" t="s">
        <v>2270</v>
      </c>
      <c r="BL83" s="382" t="s">
        <v>1677</v>
      </c>
      <c r="BM83" s="788">
        <v>40041</v>
      </c>
      <c r="BN83" s="764" t="s">
        <v>2457</v>
      </c>
      <c r="BO83" s="764" t="s">
        <v>2458</v>
      </c>
      <c r="BP83" s="344"/>
      <c r="BQ83" s="343"/>
      <c r="BR83" s="343"/>
      <c r="BS83" s="343"/>
      <c r="BT83" s="343"/>
      <c r="BU83" s="343"/>
      <c r="BV83" s="343"/>
    </row>
    <row r="84" spans="54:74" ht="13.5" customHeight="1">
      <c r="BB84" s="770">
        <v>640951</v>
      </c>
      <c r="BC84" s="382" t="str">
        <f t="shared" si="1"/>
        <v>札幌市中央区宮の森一条</v>
      </c>
      <c r="BD84" s="382" t="s">
        <v>571</v>
      </c>
      <c r="BE84" s="82" t="s">
        <v>642</v>
      </c>
      <c r="BF84" s="382"/>
      <c r="BG84" s="1228" t="s">
        <v>1688</v>
      </c>
      <c r="BH84" s="769">
        <v>85</v>
      </c>
      <c r="BI84" s="785" t="s">
        <v>1678</v>
      </c>
      <c r="BJ84" s="781" t="s">
        <v>2247</v>
      </c>
      <c r="BK84" s="781" t="s">
        <v>2248</v>
      </c>
      <c r="BL84" s="382" t="s">
        <v>1689</v>
      </c>
      <c r="BM84" s="788">
        <v>70880</v>
      </c>
      <c r="BN84" s="764" t="s">
        <v>2570</v>
      </c>
      <c r="BO84" s="764" t="s">
        <v>2571</v>
      </c>
      <c r="BP84" s="344"/>
      <c r="BQ84" s="348"/>
      <c r="BR84" s="346"/>
      <c r="BS84" s="343"/>
      <c r="BT84" s="343"/>
      <c r="BU84" s="346"/>
      <c r="BV84" s="346"/>
    </row>
    <row r="85" spans="54:74" ht="13.5" customHeight="1">
      <c r="BB85" s="770">
        <v>640952</v>
      </c>
      <c r="BC85" s="382" t="str">
        <f t="shared" si="1"/>
        <v>札幌市中央区宮の森二条</v>
      </c>
      <c r="BD85" s="382" t="s">
        <v>571</v>
      </c>
      <c r="BE85" s="82" t="s">
        <v>643</v>
      </c>
      <c r="BF85" s="382"/>
      <c r="BG85" s="1228"/>
      <c r="BH85" s="769">
        <v>86</v>
      </c>
      <c r="BI85" s="382" t="s">
        <v>1542</v>
      </c>
      <c r="BJ85" s="382" t="s">
        <v>2245</v>
      </c>
      <c r="BK85" s="382" t="s">
        <v>2246</v>
      </c>
      <c r="BL85" s="382" t="s">
        <v>1690</v>
      </c>
      <c r="BM85" s="765">
        <v>70890</v>
      </c>
      <c r="BN85" s="764" t="s">
        <v>2576</v>
      </c>
      <c r="BO85" s="764" t="s">
        <v>2577</v>
      </c>
      <c r="BP85" s="344"/>
      <c r="BQ85" s="348"/>
      <c r="BR85" s="346"/>
      <c r="BS85" s="343"/>
      <c r="BT85" s="343"/>
      <c r="BU85" s="346"/>
      <c r="BV85" s="346"/>
    </row>
    <row r="86" spans="54:74" ht="13.5" customHeight="1">
      <c r="BB86" s="770">
        <v>640953</v>
      </c>
      <c r="BC86" s="382" t="str">
        <f t="shared" si="1"/>
        <v>札幌市中央区宮の森三条</v>
      </c>
      <c r="BD86" s="382" t="s">
        <v>571</v>
      </c>
      <c r="BE86" s="82" t="s">
        <v>644</v>
      </c>
      <c r="BF86" s="382"/>
      <c r="BG86" s="1228"/>
      <c r="BH86" s="769">
        <v>87</v>
      </c>
      <c r="BI86" s="785" t="s">
        <v>1510</v>
      </c>
      <c r="BJ86" s="382" t="s">
        <v>2243</v>
      </c>
      <c r="BK86" s="382" t="s">
        <v>2244</v>
      </c>
      <c r="BL86" s="382" t="s">
        <v>1691</v>
      </c>
      <c r="BM86" s="765">
        <v>70890</v>
      </c>
      <c r="BN86" s="764" t="s">
        <v>2578</v>
      </c>
      <c r="BO86" s="764" t="s">
        <v>2579</v>
      </c>
      <c r="BP86" s="344"/>
      <c r="BQ86" s="348"/>
      <c r="BR86" s="346"/>
      <c r="BS86" s="343"/>
      <c r="BT86" s="343"/>
      <c r="BU86" s="346"/>
      <c r="BV86" s="346"/>
    </row>
    <row r="87" spans="54:74" ht="13.5" customHeight="1">
      <c r="BB87" s="770">
        <v>640954</v>
      </c>
      <c r="BC87" s="382" t="str">
        <f t="shared" si="1"/>
        <v>札幌市中央区宮の森四条</v>
      </c>
      <c r="BD87" s="382" t="s">
        <v>571</v>
      </c>
      <c r="BE87" s="82" t="s">
        <v>645</v>
      </c>
      <c r="BF87" s="382"/>
      <c r="BG87" s="1228"/>
      <c r="BH87" s="769">
        <v>88</v>
      </c>
      <c r="BI87" s="382" t="s">
        <v>1679</v>
      </c>
      <c r="BJ87" s="382" t="s">
        <v>2241</v>
      </c>
      <c r="BK87" s="382" t="s">
        <v>2242</v>
      </c>
      <c r="BL87" s="382" t="s">
        <v>1692</v>
      </c>
      <c r="BM87" s="765">
        <v>70813</v>
      </c>
      <c r="BN87" s="764" t="s">
        <v>2616</v>
      </c>
      <c r="BO87" s="764" t="s">
        <v>2617</v>
      </c>
      <c r="BP87" s="344"/>
      <c r="BQ87" s="348"/>
      <c r="BR87" s="346"/>
      <c r="BS87" s="343"/>
      <c r="BT87" s="343"/>
      <c r="BU87" s="346"/>
      <c r="BV87" s="346"/>
    </row>
    <row r="88" spans="54:74" ht="13.5" customHeight="1">
      <c r="BB88" s="770">
        <v>10000</v>
      </c>
      <c r="BC88" s="382" t="str">
        <f t="shared" si="1"/>
        <v>札幌市北区</v>
      </c>
      <c r="BD88" s="382" t="s">
        <v>572</v>
      </c>
      <c r="BE88" s="82"/>
      <c r="BF88" s="382"/>
      <c r="BG88" s="1228"/>
      <c r="BH88" s="769">
        <v>89</v>
      </c>
      <c r="BI88" s="785" t="s">
        <v>1532</v>
      </c>
      <c r="BJ88" s="382" t="s">
        <v>2239</v>
      </c>
      <c r="BK88" s="382" t="s">
        <v>2240</v>
      </c>
      <c r="BL88" s="382" t="s">
        <v>1693</v>
      </c>
      <c r="BM88" s="765">
        <v>70805</v>
      </c>
      <c r="BN88" s="764" t="s">
        <v>2612</v>
      </c>
      <c r="BO88" s="764" t="s">
        <v>2613</v>
      </c>
      <c r="BP88" s="344"/>
      <c r="BQ88" s="348"/>
      <c r="BR88" s="346"/>
      <c r="BS88" s="343"/>
      <c r="BT88" s="343"/>
      <c r="BU88" s="346"/>
      <c r="BV88" s="346"/>
    </row>
    <row r="89" spans="54:74" ht="13.5" customHeight="1">
      <c r="BB89" s="770">
        <v>28071</v>
      </c>
      <c r="BC89" s="382" t="str">
        <f t="shared" si="1"/>
        <v>札幌市北区あいの里一条</v>
      </c>
      <c r="BD89" s="382" t="s">
        <v>572</v>
      </c>
      <c r="BE89" s="82" t="s">
        <v>646</v>
      </c>
      <c r="BF89" s="382"/>
      <c r="BG89" s="1228"/>
      <c r="BH89" s="769">
        <v>90</v>
      </c>
      <c r="BI89" s="382" t="s">
        <v>1680</v>
      </c>
      <c r="BJ89" s="382" t="s">
        <v>2237</v>
      </c>
      <c r="BK89" s="382" t="s">
        <v>2238</v>
      </c>
      <c r="BL89" s="382" t="s">
        <v>1694</v>
      </c>
      <c r="BM89" s="765">
        <v>70807</v>
      </c>
      <c r="BN89" s="764" t="s">
        <v>2572</v>
      </c>
      <c r="BO89" s="764" t="s">
        <v>2573</v>
      </c>
      <c r="BP89" s="344"/>
      <c r="BQ89" s="348"/>
      <c r="BR89" s="346"/>
      <c r="BS89" s="343"/>
      <c r="BT89" s="343"/>
      <c r="BU89" s="346"/>
      <c r="BV89" s="346"/>
    </row>
    <row r="90" spans="54:74" ht="13.5" customHeight="1">
      <c r="BB90" s="770">
        <v>28072</v>
      </c>
      <c r="BC90" s="382" t="str">
        <f t="shared" si="1"/>
        <v>札幌市北区あいの里二条</v>
      </c>
      <c r="BD90" s="382" t="s">
        <v>572</v>
      </c>
      <c r="BE90" s="82" t="s">
        <v>647</v>
      </c>
      <c r="BF90" s="382"/>
      <c r="BG90" s="1228"/>
      <c r="BH90" s="769">
        <v>91</v>
      </c>
      <c r="BI90" s="382" t="s">
        <v>1474</v>
      </c>
      <c r="BJ90" s="382" t="s">
        <v>2235</v>
      </c>
      <c r="BK90" s="382" t="s">
        <v>2236</v>
      </c>
      <c r="BL90" s="382" t="s">
        <v>1695</v>
      </c>
      <c r="BM90" s="765">
        <v>70809</v>
      </c>
      <c r="BN90" s="764" t="s">
        <v>2598</v>
      </c>
      <c r="BO90" s="764" t="s">
        <v>2599</v>
      </c>
      <c r="BP90" s="344"/>
      <c r="BQ90" s="348"/>
      <c r="BR90" s="346"/>
      <c r="BS90" s="343"/>
      <c r="BT90" s="343"/>
      <c r="BU90" s="346"/>
      <c r="BV90" s="346"/>
    </row>
    <row r="91" spans="54:74" ht="13.5" customHeight="1">
      <c r="BB91" s="770">
        <v>28073</v>
      </c>
      <c r="BC91" s="382" t="str">
        <f t="shared" si="1"/>
        <v>札幌市北区あいの里三条</v>
      </c>
      <c r="BD91" s="382" t="s">
        <v>572</v>
      </c>
      <c r="BE91" s="82" t="s">
        <v>648</v>
      </c>
      <c r="BF91" s="382"/>
      <c r="BG91" s="1228"/>
      <c r="BH91" s="769">
        <v>92</v>
      </c>
      <c r="BI91" s="382" t="s">
        <v>1546</v>
      </c>
      <c r="BJ91" s="382" t="s">
        <v>2233</v>
      </c>
      <c r="BK91" s="382" t="s">
        <v>2234</v>
      </c>
      <c r="BL91" s="382" t="s">
        <v>1696</v>
      </c>
      <c r="BM91" s="765">
        <v>70871</v>
      </c>
      <c r="BN91" s="764" t="s">
        <v>2614</v>
      </c>
      <c r="BO91" s="764" t="s">
        <v>2615</v>
      </c>
      <c r="BP91" s="344"/>
      <c r="BQ91" s="348"/>
      <c r="BR91" s="346"/>
      <c r="BS91" s="343"/>
      <c r="BT91" s="343"/>
      <c r="BU91" s="346"/>
      <c r="BV91" s="346"/>
    </row>
    <row r="92" spans="54:74" ht="13.5" customHeight="1">
      <c r="BB92" s="770">
        <v>28074</v>
      </c>
      <c r="BC92" s="382" t="str">
        <f t="shared" si="1"/>
        <v>札幌市北区あいの里四条</v>
      </c>
      <c r="BD92" s="382" t="s">
        <v>572</v>
      </c>
      <c r="BE92" s="82" t="s">
        <v>649</v>
      </c>
      <c r="BF92" s="382"/>
      <c r="BG92" s="1228"/>
      <c r="BH92" s="769">
        <v>93</v>
      </c>
      <c r="BI92" s="382" t="s">
        <v>1681</v>
      </c>
      <c r="BJ92" s="382" t="s">
        <v>2231</v>
      </c>
      <c r="BK92" s="382" t="s">
        <v>2232</v>
      </c>
      <c r="BL92" s="382" t="s">
        <v>1697</v>
      </c>
      <c r="BM92" s="765">
        <v>70861</v>
      </c>
      <c r="BN92" s="764" t="s">
        <v>2568</v>
      </c>
      <c r="BO92" s="764" t="s">
        <v>2569</v>
      </c>
      <c r="BP92" s="344"/>
      <c r="BQ92" s="348"/>
      <c r="BR92" s="346"/>
      <c r="BS92" s="343"/>
      <c r="BT92" s="343"/>
      <c r="BU92" s="346"/>
      <c r="BV92" s="346"/>
    </row>
    <row r="93" spans="54:74" ht="13.5" customHeight="1">
      <c r="BB93" s="770">
        <v>28075</v>
      </c>
      <c r="BC93" s="382" t="str">
        <f t="shared" si="1"/>
        <v>札幌市北区あいの里五条</v>
      </c>
      <c r="BD93" s="382" t="s">
        <v>572</v>
      </c>
      <c r="BE93" s="82" t="s">
        <v>650</v>
      </c>
      <c r="BF93" s="382"/>
      <c r="BG93" s="1228"/>
      <c r="BH93" s="769">
        <v>94</v>
      </c>
      <c r="BI93" s="382" t="s">
        <v>1545</v>
      </c>
      <c r="BJ93" s="382" t="s">
        <v>2229</v>
      </c>
      <c r="BK93" s="382" t="s">
        <v>2230</v>
      </c>
      <c r="BL93" s="382" t="s">
        <v>1698</v>
      </c>
      <c r="BM93" s="765">
        <v>70868</v>
      </c>
      <c r="BN93" s="764" t="s">
        <v>2604</v>
      </c>
      <c r="BO93" s="764" t="s">
        <v>2605</v>
      </c>
      <c r="BP93" s="344"/>
      <c r="BQ93" s="348"/>
      <c r="BR93" s="346"/>
      <c r="BS93" s="343"/>
      <c r="BT93" s="343"/>
      <c r="BU93" s="346"/>
      <c r="BV93" s="346"/>
    </row>
    <row r="94" spans="54:74" ht="13.5" customHeight="1">
      <c r="BB94" s="770">
        <v>10045</v>
      </c>
      <c r="BC94" s="382" t="str">
        <f t="shared" si="1"/>
        <v>札幌市北区麻生町</v>
      </c>
      <c r="BD94" s="382" t="s">
        <v>572</v>
      </c>
      <c r="BE94" s="82" t="s">
        <v>651</v>
      </c>
      <c r="BF94" s="382"/>
      <c r="BG94" s="1228"/>
      <c r="BH94" s="769">
        <v>95</v>
      </c>
      <c r="BI94" s="382" t="s">
        <v>1556</v>
      </c>
      <c r="BJ94" s="382" t="s">
        <v>2227</v>
      </c>
      <c r="BK94" s="382" t="s">
        <v>2228</v>
      </c>
      <c r="BL94" s="382" t="s">
        <v>1699</v>
      </c>
      <c r="BM94" s="765">
        <v>650012</v>
      </c>
      <c r="BN94" s="764" t="s">
        <v>2564</v>
      </c>
      <c r="BO94" s="764" t="s">
        <v>2565</v>
      </c>
      <c r="BP94" s="344"/>
      <c r="BQ94" s="348"/>
      <c r="BR94" s="346"/>
      <c r="BS94" s="343"/>
      <c r="BT94" s="343"/>
      <c r="BU94" s="346"/>
      <c r="BV94" s="346"/>
    </row>
    <row r="95" spans="54:74" ht="13.5" customHeight="1">
      <c r="BB95" s="770">
        <v>600806</v>
      </c>
      <c r="BC95" s="382" t="str">
        <f t="shared" si="1"/>
        <v>札幌市北区北六条西</v>
      </c>
      <c r="BD95" s="382" t="s">
        <v>572</v>
      </c>
      <c r="BE95" s="82" t="s">
        <v>652</v>
      </c>
      <c r="BF95" s="382"/>
      <c r="BG95" s="1228"/>
      <c r="BH95" s="769">
        <v>96</v>
      </c>
      <c r="BI95" s="382" t="s">
        <v>1565</v>
      </c>
      <c r="BJ95" s="382" t="s">
        <v>2225</v>
      </c>
      <c r="BK95" s="382" t="s">
        <v>2226</v>
      </c>
      <c r="BL95" s="382" t="s">
        <v>1700</v>
      </c>
      <c r="BM95" s="765">
        <v>650018</v>
      </c>
      <c r="BN95" s="764" t="s">
        <v>2566</v>
      </c>
      <c r="BO95" s="764" t="s">
        <v>2567</v>
      </c>
      <c r="BP95" s="344"/>
      <c r="BQ95" s="348"/>
      <c r="BR95" s="346"/>
      <c r="BS95" s="343"/>
      <c r="BT95" s="343"/>
      <c r="BU95" s="346"/>
      <c r="BV95" s="346"/>
    </row>
    <row r="96" spans="54:74" ht="13.5" customHeight="1">
      <c r="BB96" s="770">
        <v>600807</v>
      </c>
      <c r="BC96" s="382" t="str">
        <f t="shared" si="1"/>
        <v>札幌市北区北七条西</v>
      </c>
      <c r="BD96" s="382" t="s">
        <v>572</v>
      </c>
      <c r="BE96" s="82" t="s">
        <v>586</v>
      </c>
      <c r="BF96" s="382"/>
      <c r="BG96" s="1228"/>
      <c r="BH96" s="769">
        <v>97</v>
      </c>
      <c r="BI96" s="382" t="s">
        <v>1574</v>
      </c>
      <c r="BJ96" s="382" t="s">
        <v>2223</v>
      </c>
      <c r="BK96" s="382" t="s">
        <v>2224</v>
      </c>
      <c r="BL96" s="382" t="s">
        <v>1701</v>
      </c>
      <c r="BM96" s="765">
        <v>650019</v>
      </c>
      <c r="BN96" s="764" t="s">
        <v>2586</v>
      </c>
      <c r="BO96" s="764" t="s">
        <v>2587</v>
      </c>
      <c r="BP96" s="344"/>
      <c r="BQ96" s="348"/>
      <c r="BR96" s="346"/>
      <c r="BS96" s="343"/>
      <c r="BT96" s="343"/>
      <c r="BU96" s="346"/>
      <c r="BV96" s="346"/>
    </row>
    <row r="97" spans="54:74" ht="13.5" customHeight="1">
      <c r="BB97" s="770">
        <v>600808</v>
      </c>
      <c r="BC97" s="382" t="str">
        <f t="shared" si="1"/>
        <v>札幌市北区北八条西</v>
      </c>
      <c r="BD97" s="382" t="s">
        <v>572</v>
      </c>
      <c r="BE97" s="82" t="s">
        <v>587</v>
      </c>
      <c r="BF97" s="382"/>
      <c r="BG97" s="1228"/>
      <c r="BH97" s="769">
        <v>98</v>
      </c>
      <c r="BI97" s="785" t="s">
        <v>1453</v>
      </c>
      <c r="BJ97" s="382" t="s">
        <v>2221</v>
      </c>
      <c r="BK97" s="382" t="s">
        <v>2222</v>
      </c>
      <c r="BL97" s="382" t="s">
        <v>1702</v>
      </c>
      <c r="BM97" s="765">
        <v>650021</v>
      </c>
      <c r="BN97" s="764" t="s">
        <v>2606</v>
      </c>
      <c r="BO97" s="764" t="s">
        <v>2607</v>
      </c>
      <c r="BP97" s="344"/>
      <c r="BQ97" s="348"/>
      <c r="BR97" s="346"/>
      <c r="BS97" s="343"/>
      <c r="BT97" s="343"/>
      <c r="BU97" s="346"/>
      <c r="BV97" s="346"/>
    </row>
    <row r="98" spans="54:74">
      <c r="BB98" s="770">
        <v>600809</v>
      </c>
      <c r="BC98" s="382" t="str">
        <f t="shared" si="1"/>
        <v>札幌市北区北九条西</v>
      </c>
      <c r="BD98" s="382" t="s">
        <v>572</v>
      </c>
      <c r="BE98" s="82" t="s">
        <v>588</v>
      </c>
      <c r="BF98" s="382"/>
      <c r="BG98" s="1228"/>
      <c r="BH98" s="769">
        <v>99</v>
      </c>
      <c r="BI98" s="382" t="s">
        <v>1682</v>
      </c>
      <c r="BJ98" s="382" t="s">
        <v>2218</v>
      </c>
      <c r="BK98" s="382" t="s">
        <v>2220</v>
      </c>
      <c r="BL98" s="382" t="s">
        <v>1703</v>
      </c>
      <c r="BM98" s="765">
        <v>650025</v>
      </c>
      <c r="BN98" s="764" t="s">
        <v>2582</v>
      </c>
      <c r="BO98" s="764" t="s">
        <v>2583</v>
      </c>
      <c r="BP98" s="344"/>
      <c r="BQ98" s="348"/>
      <c r="BR98" s="346"/>
      <c r="BS98" s="343"/>
      <c r="BT98" s="343"/>
      <c r="BU98" s="346"/>
      <c r="BV98" s="346"/>
    </row>
    <row r="99" spans="54:74">
      <c r="BB99" s="770">
        <v>10010</v>
      </c>
      <c r="BC99" s="382" t="str">
        <f t="shared" si="1"/>
        <v>札幌市北区北十条西</v>
      </c>
      <c r="BD99" s="382" t="s">
        <v>572</v>
      </c>
      <c r="BE99" s="82" t="s">
        <v>1335</v>
      </c>
      <c r="BF99" s="382"/>
      <c r="BG99" s="1228"/>
      <c r="BH99" s="769">
        <v>100</v>
      </c>
      <c r="BI99" s="785" t="s">
        <v>1460</v>
      </c>
      <c r="BJ99" s="382" t="s">
        <v>2218</v>
      </c>
      <c r="BK99" s="382" t="s">
        <v>2219</v>
      </c>
      <c r="BL99" s="382" t="s">
        <v>1704</v>
      </c>
      <c r="BM99" s="765">
        <v>650025</v>
      </c>
      <c r="BN99" s="764" t="s">
        <v>2580</v>
      </c>
      <c r="BO99" s="764" t="s">
        <v>2581</v>
      </c>
      <c r="BP99" s="344"/>
      <c r="BQ99" s="348"/>
      <c r="BR99" s="346"/>
      <c r="BS99" s="343"/>
      <c r="BT99" s="343"/>
      <c r="BU99" s="346"/>
      <c r="BV99" s="346"/>
    </row>
    <row r="100" spans="54:74">
      <c r="BB100" s="770">
        <v>600810</v>
      </c>
      <c r="BC100" s="382" t="str">
        <f t="shared" si="1"/>
        <v>札幌市北区北十条西</v>
      </c>
      <c r="BD100" s="382" t="s">
        <v>572</v>
      </c>
      <c r="BE100" s="82" t="s">
        <v>1336</v>
      </c>
      <c r="BF100" s="382"/>
      <c r="BG100" s="1228"/>
      <c r="BH100" s="769">
        <v>101</v>
      </c>
      <c r="BI100" s="382" t="s">
        <v>1577</v>
      </c>
      <c r="BJ100" s="382" t="s">
        <v>2216</v>
      </c>
      <c r="BK100" s="382" t="s">
        <v>2217</v>
      </c>
      <c r="BL100" s="382" t="s">
        <v>1705</v>
      </c>
      <c r="BM100" s="765">
        <v>650031</v>
      </c>
      <c r="BN100" s="764" t="s">
        <v>2594</v>
      </c>
      <c r="BO100" s="764" t="s">
        <v>2595</v>
      </c>
      <c r="BP100" s="344"/>
      <c r="BQ100" s="348"/>
      <c r="BR100" s="346"/>
      <c r="BS100" s="343"/>
      <c r="BT100" s="343"/>
      <c r="BU100" s="346"/>
      <c r="BV100" s="346"/>
    </row>
    <row r="101" spans="54:74">
      <c r="BB101" s="770">
        <v>10011</v>
      </c>
      <c r="BC101" s="382" t="str">
        <f t="shared" si="1"/>
        <v>札幌市北区北十一条西</v>
      </c>
      <c r="BD101" s="382" t="s">
        <v>572</v>
      </c>
      <c r="BE101" s="82" t="s">
        <v>1337</v>
      </c>
      <c r="BF101" s="382"/>
      <c r="BG101" s="1228"/>
      <c r="BH101" s="769">
        <v>102</v>
      </c>
      <c r="BI101" s="785" t="s">
        <v>1683</v>
      </c>
      <c r="BJ101" s="382" t="s">
        <v>2215</v>
      </c>
      <c r="BK101" s="382" t="s">
        <v>1957</v>
      </c>
      <c r="BL101" s="382" t="s">
        <v>1706</v>
      </c>
      <c r="BM101" s="765">
        <v>650033</v>
      </c>
      <c r="BN101" s="764" t="s">
        <v>2584</v>
      </c>
      <c r="BO101" s="764" t="s">
        <v>2585</v>
      </c>
      <c r="BP101" s="344"/>
      <c r="BQ101" s="348"/>
      <c r="BR101" s="346"/>
      <c r="BS101" s="343"/>
      <c r="BT101" s="343"/>
      <c r="BU101" s="346"/>
      <c r="BV101" s="346"/>
    </row>
    <row r="102" spans="54:74">
      <c r="BB102" s="770">
        <v>600811</v>
      </c>
      <c r="BC102" s="382" t="str">
        <f t="shared" si="1"/>
        <v>札幌市北区北十一条西</v>
      </c>
      <c r="BD102" s="382" t="s">
        <v>572</v>
      </c>
      <c r="BE102" s="82" t="s">
        <v>1337</v>
      </c>
      <c r="BF102" s="382"/>
      <c r="BG102" s="1228"/>
      <c r="BH102" s="769">
        <v>103</v>
      </c>
      <c r="BI102" s="382" t="s">
        <v>1684</v>
      </c>
      <c r="BJ102" s="382" t="s">
        <v>2213</v>
      </c>
      <c r="BK102" s="382" t="s">
        <v>2214</v>
      </c>
      <c r="BL102" s="382" t="s">
        <v>1707</v>
      </c>
      <c r="BM102" s="765">
        <v>70836</v>
      </c>
      <c r="BN102" s="764" t="s">
        <v>2608</v>
      </c>
      <c r="BO102" s="764" t="s">
        <v>2609</v>
      </c>
      <c r="BP102" s="344"/>
      <c r="BQ102" s="348"/>
      <c r="BR102" s="346"/>
      <c r="BS102" s="343"/>
      <c r="BT102" s="343"/>
      <c r="BU102" s="346"/>
      <c r="BV102" s="346"/>
    </row>
    <row r="103" spans="54:74">
      <c r="BB103" s="770">
        <v>10012</v>
      </c>
      <c r="BC103" s="382" t="str">
        <f t="shared" si="1"/>
        <v>札幌市北区北十二条西</v>
      </c>
      <c r="BD103" s="382" t="s">
        <v>572</v>
      </c>
      <c r="BE103" s="82" t="s">
        <v>1338</v>
      </c>
      <c r="BF103" s="382"/>
      <c r="BG103" s="1228"/>
      <c r="BH103" s="769">
        <v>104</v>
      </c>
      <c r="BI103" s="382" t="s">
        <v>1473</v>
      </c>
      <c r="BJ103" s="382" t="s">
        <v>2211</v>
      </c>
      <c r="BK103" s="382" t="s">
        <v>2212</v>
      </c>
      <c r="BL103" s="382" t="s">
        <v>1708</v>
      </c>
      <c r="BM103" s="765">
        <v>70837</v>
      </c>
      <c r="BN103" s="764" t="s">
        <v>2602</v>
      </c>
      <c r="BO103" s="764" t="s">
        <v>2603</v>
      </c>
      <c r="BP103" s="344"/>
      <c r="BQ103" s="348"/>
      <c r="BR103" s="346"/>
      <c r="BS103" s="343"/>
      <c r="BT103" s="343"/>
      <c r="BU103" s="346"/>
      <c r="BV103" s="346"/>
    </row>
    <row r="104" spans="54:74">
      <c r="BB104" s="770">
        <v>600812</v>
      </c>
      <c r="BC104" s="382" t="str">
        <f t="shared" si="1"/>
        <v>札幌市北区北十二条西</v>
      </c>
      <c r="BD104" s="382" t="s">
        <v>572</v>
      </c>
      <c r="BE104" s="82" t="s">
        <v>1339</v>
      </c>
      <c r="BF104" s="382"/>
      <c r="BG104" s="1228"/>
      <c r="BH104" s="769">
        <v>105</v>
      </c>
      <c r="BI104" s="382" t="s">
        <v>1472</v>
      </c>
      <c r="BJ104" s="382" t="s">
        <v>2210</v>
      </c>
      <c r="BK104" s="382" t="s">
        <v>1957</v>
      </c>
      <c r="BL104" s="382" t="s">
        <v>1709</v>
      </c>
      <c r="BM104" s="765">
        <v>70839</v>
      </c>
      <c r="BN104" s="764" t="s">
        <v>2590</v>
      </c>
      <c r="BO104" s="764" t="s">
        <v>2591</v>
      </c>
      <c r="BP104" s="344"/>
      <c r="BQ104" s="348"/>
      <c r="BR104" s="346"/>
      <c r="BS104" s="343"/>
      <c r="BT104" s="343"/>
      <c r="BU104" s="346"/>
      <c r="BV104" s="346"/>
    </row>
    <row r="105" spans="54:74">
      <c r="BB105" s="770">
        <v>10013</v>
      </c>
      <c r="BC105" s="382" t="str">
        <f t="shared" si="1"/>
        <v>札幌市北区北十三条西</v>
      </c>
      <c r="BD105" s="382" t="s">
        <v>572</v>
      </c>
      <c r="BE105" s="82" t="s">
        <v>1340</v>
      </c>
      <c r="BF105" s="382"/>
      <c r="BG105" s="1228"/>
      <c r="BH105" s="769">
        <v>106</v>
      </c>
      <c r="BI105" s="382" t="s">
        <v>1471</v>
      </c>
      <c r="BJ105" s="382" t="s">
        <v>2208</v>
      </c>
      <c r="BK105" s="382" t="s">
        <v>2209</v>
      </c>
      <c r="BL105" s="382" t="s">
        <v>1710</v>
      </c>
      <c r="BM105" s="765">
        <v>70842</v>
      </c>
      <c r="BN105" s="764" t="s">
        <v>2574</v>
      </c>
      <c r="BO105" s="764" t="s">
        <v>2575</v>
      </c>
      <c r="BP105" s="344"/>
      <c r="BQ105" s="348"/>
      <c r="BR105" s="346"/>
      <c r="BS105" s="343"/>
      <c r="BT105" s="343"/>
      <c r="BU105" s="346"/>
      <c r="BV105" s="346"/>
    </row>
    <row r="106" spans="54:74">
      <c r="BB106" s="770">
        <v>600813</v>
      </c>
      <c r="BC106" s="382" t="str">
        <f t="shared" si="1"/>
        <v>札幌市北区北十三条西</v>
      </c>
      <c r="BD106" s="382" t="s">
        <v>572</v>
      </c>
      <c r="BE106" s="82" t="s">
        <v>1340</v>
      </c>
      <c r="BF106" s="382"/>
      <c r="BG106" s="1228"/>
      <c r="BH106" s="769">
        <v>107</v>
      </c>
      <c r="BI106" s="382" t="s">
        <v>1685</v>
      </c>
      <c r="BJ106" s="382" t="s">
        <v>2206</v>
      </c>
      <c r="BK106" s="382" t="s">
        <v>2207</v>
      </c>
      <c r="BL106" s="382" t="s">
        <v>1711</v>
      </c>
      <c r="BM106" s="765">
        <v>70846</v>
      </c>
      <c r="BN106" s="764" t="s">
        <v>2596</v>
      </c>
      <c r="BO106" s="764" t="s">
        <v>2597</v>
      </c>
      <c r="BP106" s="344"/>
      <c r="BQ106" s="348"/>
      <c r="BR106" s="346"/>
      <c r="BS106" s="343"/>
      <c r="BT106" s="343"/>
      <c r="BU106" s="346"/>
      <c r="BV106" s="346"/>
    </row>
    <row r="107" spans="54:74">
      <c r="BB107" s="770">
        <v>10014</v>
      </c>
      <c r="BC107" s="382" t="str">
        <f t="shared" si="1"/>
        <v>札幌市北区北十四条西</v>
      </c>
      <c r="BD107" s="382" t="s">
        <v>572</v>
      </c>
      <c r="BE107" s="82" t="s">
        <v>1341</v>
      </c>
      <c r="BF107" s="382"/>
      <c r="BG107" s="1228"/>
      <c r="BH107" s="769">
        <v>108</v>
      </c>
      <c r="BI107" s="382" t="s">
        <v>1686</v>
      </c>
      <c r="BJ107" s="382" t="s">
        <v>2205</v>
      </c>
      <c r="BK107" s="382" t="s">
        <v>1931</v>
      </c>
      <c r="BL107" s="382" t="s">
        <v>1712</v>
      </c>
      <c r="BM107" s="765">
        <v>70847</v>
      </c>
      <c r="BN107" s="764" t="s">
        <v>2592</v>
      </c>
      <c r="BO107" s="764" t="s">
        <v>2593</v>
      </c>
      <c r="BP107" s="344"/>
      <c r="BQ107" s="348"/>
      <c r="BR107" s="346"/>
      <c r="BS107" s="343"/>
      <c r="BT107" s="343"/>
      <c r="BU107" s="346"/>
      <c r="BV107" s="346"/>
    </row>
    <row r="108" spans="54:74">
      <c r="BB108" s="770">
        <v>600814</v>
      </c>
      <c r="BC108" s="382" t="str">
        <f t="shared" si="1"/>
        <v>札幌市北区北十四条西</v>
      </c>
      <c r="BD108" s="382" t="s">
        <v>572</v>
      </c>
      <c r="BE108" s="82" t="s">
        <v>1342</v>
      </c>
      <c r="BF108" s="382"/>
      <c r="BG108" s="1228"/>
      <c r="BH108" s="769">
        <v>109</v>
      </c>
      <c r="BI108" s="382" t="s">
        <v>1687</v>
      </c>
      <c r="BJ108" s="382" t="s">
        <v>2203</v>
      </c>
      <c r="BK108" s="382" t="s">
        <v>2204</v>
      </c>
      <c r="BL108" s="382" t="s">
        <v>1713</v>
      </c>
      <c r="BM108" s="765">
        <v>70851</v>
      </c>
      <c r="BN108" s="764" t="s">
        <v>2610</v>
      </c>
      <c r="BO108" s="764" t="s">
        <v>2611</v>
      </c>
      <c r="BP108" s="344"/>
      <c r="BQ108" s="348"/>
      <c r="BR108" s="346"/>
      <c r="BS108" s="343"/>
      <c r="BT108" s="343"/>
      <c r="BU108" s="346"/>
      <c r="BV108" s="346"/>
    </row>
    <row r="109" spans="54:74">
      <c r="BB109" s="770">
        <v>10015</v>
      </c>
      <c r="BC109" s="382" t="str">
        <f t="shared" si="1"/>
        <v>札幌市北区北十五条西</v>
      </c>
      <c r="BD109" s="382" t="s">
        <v>572</v>
      </c>
      <c r="BE109" s="82" t="s">
        <v>1343</v>
      </c>
      <c r="BF109" s="382"/>
      <c r="BG109" s="1228"/>
      <c r="BH109" s="769">
        <v>110</v>
      </c>
      <c r="BI109" s="785" t="s">
        <v>1509</v>
      </c>
      <c r="BJ109" s="382" t="s">
        <v>2201</v>
      </c>
      <c r="BK109" s="382" t="s">
        <v>2202</v>
      </c>
      <c r="BL109" s="382" t="s">
        <v>1714</v>
      </c>
      <c r="BM109" s="765">
        <v>650009</v>
      </c>
      <c r="BN109" s="764" t="s">
        <v>2562</v>
      </c>
      <c r="BO109" s="764" t="s">
        <v>2563</v>
      </c>
      <c r="BP109" s="344"/>
      <c r="BQ109" s="348"/>
      <c r="BR109" s="346"/>
      <c r="BS109" s="343"/>
      <c r="BT109" s="343"/>
      <c r="BU109" s="346"/>
      <c r="BV109" s="346"/>
    </row>
    <row r="110" spans="54:74">
      <c r="BB110" s="770">
        <v>600815</v>
      </c>
      <c r="BC110" s="382" t="str">
        <f t="shared" si="1"/>
        <v>札幌市北区北十五条西</v>
      </c>
      <c r="BD110" s="382" t="s">
        <v>572</v>
      </c>
      <c r="BE110" s="82" t="s">
        <v>1343</v>
      </c>
      <c r="BF110" s="382"/>
      <c r="BG110" s="1228"/>
      <c r="BH110" s="769">
        <v>111</v>
      </c>
      <c r="BI110" s="785" t="s">
        <v>1501</v>
      </c>
      <c r="BJ110" s="382" t="s">
        <v>2199</v>
      </c>
      <c r="BK110" s="382" t="s">
        <v>2200</v>
      </c>
      <c r="BL110" s="382" t="s">
        <v>1715</v>
      </c>
      <c r="BM110" s="765">
        <v>650042</v>
      </c>
      <c r="BN110" s="764" t="s">
        <v>2600</v>
      </c>
      <c r="BO110" s="764" t="s">
        <v>2601</v>
      </c>
      <c r="BP110" s="344"/>
      <c r="BQ110" s="348"/>
      <c r="BR110" s="346"/>
      <c r="BS110" s="343"/>
      <c r="BT110" s="343"/>
      <c r="BU110" s="346"/>
      <c r="BV110" s="346"/>
    </row>
    <row r="111" spans="54:74">
      <c r="BB111" s="770">
        <v>10016</v>
      </c>
      <c r="BC111" s="382" t="str">
        <f t="shared" si="1"/>
        <v>札幌市北区北十六条西</v>
      </c>
      <c r="BD111" s="382" t="s">
        <v>572</v>
      </c>
      <c r="BE111" s="82" t="s">
        <v>1334</v>
      </c>
      <c r="BF111" s="382"/>
      <c r="BG111" s="1228"/>
      <c r="BH111" s="769">
        <v>112</v>
      </c>
      <c r="BI111" s="382" t="s">
        <v>1558</v>
      </c>
      <c r="BJ111" s="382" t="s">
        <v>2199</v>
      </c>
      <c r="BK111" s="382" t="s">
        <v>1927</v>
      </c>
      <c r="BL111" s="382" t="s">
        <v>1716</v>
      </c>
      <c r="BM111" s="765">
        <v>650042</v>
      </c>
      <c r="BN111" s="764" t="s">
        <v>2588</v>
      </c>
      <c r="BO111" s="764" t="s">
        <v>2589</v>
      </c>
      <c r="BP111" s="344"/>
      <c r="BQ111" s="348"/>
      <c r="BR111" s="346"/>
      <c r="BS111" s="343"/>
      <c r="BT111" s="343"/>
      <c r="BU111" s="346"/>
      <c r="BV111" s="346"/>
    </row>
    <row r="112" spans="54:74">
      <c r="BB112" s="770">
        <v>600816</v>
      </c>
      <c r="BC112" s="382" t="str">
        <f t="shared" si="1"/>
        <v>札幌市北区北十六条西</v>
      </c>
      <c r="BD112" s="382" t="s">
        <v>572</v>
      </c>
      <c r="BE112" s="82" t="s">
        <v>1334</v>
      </c>
      <c r="BF112" s="382"/>
      <c r="BG112" s="1228" t="s">
        <v>1722</v>
      </c>
      <c r="BH112" s="769">
        <v>113</v>
      </c>
      <c r="BI112" s="382" t="s">
        <v>1502</v>
      </c>
      <c r="BJ112" s="781" t="s">
        <v>2158</v>
      </c>
      <c r="BK112" s="781" t="s">
        <v>2159</v>
      </c>
      <c r="BL112" s="382" t="s">
        <v>1723</v>
      </c>
      <c r="BM112" s="788">
        <v>50856</v>
      </c>
      <c r="BN112" s="764" t="s">
        <v>2377</v>
      </c>
      <c r="BO112" s="764" t="s">
        <v>2378</v>
      </c>
      <c r="BP112" s="158"/>
      <c r="BQ112" s="343"/>
      <c r="BR112" s="343"/>
      <c r="BS112" s="343"/>
      <c r="BT112" s="343"/>
      <c r="BU112" s="343"/>
      <c r="BV112" s="343"/>
    </row>
    <row r="113" spans="54:74">
      <c r="BB113" s="770">
        <v>10017</v>
      </c>
      <c r="BC113" s="382" t="str">
        <f t="shared" si="1"/>
        <v>札幌市北区北十七条西</v>
      </c>
      <c r="BD113" s="382" t="s">
        <v>572</v>
      </c>
      <c r="BE113" s="82" t="s">
        <v>1333</v>
      </c>
      <c r="BF113" s="382"/>
      <c r="BG113" s="1228"/>
      <c r="BH113" s="769">
        <v>114</v>
      </c>
      <c r="BI113" s="382" t="s">
        <v>1717</v>
      </c>
      <c r="BJ113" s="382" t="s">
        <v>2156</v>
      </c>
      <c r="BK113" s="382" t="s">
        <v>2157</v>
      </c>
      <c r="BL113" s="382" t="s">
        <v>1724</v>
      </c>
      <c r="BM113" s="788">
        <v>50861</v>
      </c>
      <c r="BN113" s="764" t="s">
        <v>2381</v>
      </c>
      <c r="BO113" s="764" t="s">
        <v>2382</v>
      </c>
      <c r="BP113" s="158"/>
      <c r="BQ113" s="343"/>
      <c r="BR113" s="343"/>
      <c r="BS113" s="343"/>
      <c r="BT113" s="343"/>
      <c r="BU113" s="343"/>
      <c r="BV113" s="343"/>
    </row>
    <row r="114" spans="54:74">
      <c r="BB114" s="770">
        <v>600817</v>
      </c>
      <c r="BC114" s="382" t="str">
        <f t="shared" si="1"/>
        <v>札幌市北区北十七条西</v>
      </c>
      <c r="BD114" s="382" t="s">
        <v>572</v>
      </c>
      <c r="BE114" s="82" t="s">
        <v>1332</v>
      </c>
      <c r="BF114" s="382"/>
      <c r="BG114" s="1228"/>
      <c r="BH114" s="769">
        <v>115</v>
      </c>
      <c r="BI114" s="382" t="s">
        <v>1563</v>
      </c>
      <c r="BJ114" s="382" t="s">
        <v>2154</v>
      </c>
      <c r="BK114" s="382" t="s">
        <v>2155</v>
      </c>
      <c r="BL114" s="382" t="s">
        <v>1725</v>
      </c>
      <c r="BM114" s="788">
        <v>50018</v>
      </c>
      <c r="BN114" s="764" t="s">
        <v>2403</v>
      </c>
      <c r="BO114" s="764" t="s">
        <v>2404</v>
      </c>
      <c r="BP114" s="347"/>
      <c r="BQ114" s="343"/>
      <c r="BR114" s="343"/>
      <c r="BS114" s="343"/>
      <c r="BT114" s="343"/>
      <c r="BU114" s="343"/>
      <c r="BV114" s="343"/>
    </row>
    <row r="115" spans="54:74">
      <c r="BB115" s="770">
        <v>10018</v>
      </c>
      <c r="BC115" s="382" t="str">
        <f t="shared" si="1"/>
        <v>札幌市北区北十八条西</v>
      </c>
      <c r="BD115" s="382" t="s">
        <v>572</v>
      </c>
      <c r="BE115" s="82" t="s">
        <v>1331</v>
      </c>
      <c r="BF115" s="382"/>
      <c r="BG115" s="1228"/>
      <c r="BH115" s="769">
        <v>116</v>
      </c>
      <c r="BI115" s="382" t="s">
        <v>1564</v>
      </c>
      <c r="BJ115" s="382" t="s">
        <v>2152</v>
      </c>
      <c r="BK115" s="382" t="s">
        <v>2153</v>
      </c>
      <c r="BL115" s="382" t="s">
        <v>1726</v>
      </c>
      <c r="BM115" s="788">
        <v>50015</v>
      </c>
      <c r="BN115" s="764" t="s">
        <v>2405</v>
      </c>
      <c r="BO115" s="764" t="s">
        <v>2406</v>
      </c>
      <c r="BP115" s="158"/>
      <c r="BQ115" s="343"/>
      <c r="BR115" s="343"/>
      <c r="BS115" s="343"/>
      <c r="BT115" s="343"/>
      <c r="BU115" s="343"/>
      <c r="BV115" s="343"/>
    </row>
    <row r="116" spans="54:74">
      <c r="BB116" s="770">
        <v>600818</v>
      </c>
      <c r="BC116" s="382" t="str">
        <f t="shared" si="1"/>
        <v>札幌市北区北十八条西</v>
      </c>
      <c r="BD116" s="382" t="s">
        <v>572</v>
      </c>
      <c r="BE116" s="82" t="s">
        <v>1330</v>
      </c>
      <c r="BF116" s="382"/>
      <c r="BG116" s="1228"/>
      <c r="BH116" s="769">
        <v>117</v>
      </c>
      <c r="BI116" s="382" t="s">
        <v>1490</v>
      </c>
      <c r="BJ116" s="382" t="s">
        <v>2150</v>
      </c>
      <c r="BK116" s="382" t="s">
        <v>2151</v>
      </c>
      <c r="BL116" s="382" t="s">
        <v>1727</v>
      </c>
      <c r="BM116" s="788">
        <v>50002</v>
      </c>
      <c r="BN116" s="764" t="s">
        <v>2387</v>
      </c>
      <c r="BO116" s="764" t="s">
        <v>2388</v>
      </c>
      <c r="BP116" s="158"/>
    </row>
    <row r="117" spans="54:74">
      <c r="BB117" s="770">
        <v>10019</v>
      </c>
      <c r="BC117" s="382" t="str">
        <f t="shared" si="1"/>
        <v>札幌市北区北十九条西</v>
      </c>
      <c r="BD117" s="382" t="s">
        <v>572</v>
      </c>
      <c r="BE117" s="82" t="s">
        <v>1329</v>
      </c>
      <c r="BF117" s="382"/>
      <c r="BG117" s="1228"/>
      <c r="BH117" s="769">
        <v>118</v>
      </c>
      <c r="BI117" s="382" t="s">
        <v>1718</v>
      </c>
      <c r="BJ117" s="382" t="s">
        <v>2148</v>
      </c>
      <c r="BK117" s="382" t="s">
        <v>2149</v>
      </c>
      <c r="BL117" s="382" t="s">
        <v>1728</v>
      </c>
      <c r="BM117" s="788">
        <v>50005</v>
      </c>
      <c r="BN117" s="764" t="s">
        <v>2397</v>
      </c>
      <c r="BO117" s="764" t="s">
        <v>2398</v>
      </c>
      <c r="BP117" s="158"/>
    </row>
    <row r="118" spans="54:74">
      <c r="BB118" s="770">
        <v>600819</v>
      </c>
      <c r="BC118" s="382" t="str">
        <f t="shared" si="1"/>
        <v>札幌市北区北十九条西</v>
      </c>
      <c r="BD118" s="382" t="s">
        <v>572</v>
      </c>
      <c r="BE118" s="82" t="s">
        <v>1328</v>
      </c>
      <c r="BF118" s="382"/>
      <c r="BG118" s="1228"/>
      <c r="BH118" s="769">
        <v>119</v>
      </c>
      <c r="BI118" s="382" t="s">
        <v>1489</v>
      </c>
      <c r="BJ118" s="382" t="s">
        <v>2146</v>
      </c>
      <c r="BK118" s="382" t="s">
        <v>2147</v>
      </c>
      <c r="BL118" s="382" t="s">
        <v>1729</v>
      </c>
      <c r="BM118" s="788">
        <v>50005</v>
      </c>
      <c r="BN118" s="764" t="s">
        <v>2383</v>
      </c>
      <c r="BO118" s="764" t="s">
        <v>2384</v>
      </c>
      <c r="BP118" s="158"/>
    </row>
    <row r="119" spans="54:74">
      <c r="BB119" s="770">
        <v>10020</v>
      </c>
      <c r="BC119" s="382" t="str">
        <f t="shared" si="1"/>
        <v>札幌市北区北二十条西</v>
      </c>
      <c r="BD119" s="382" t="s">
        <v>572</v>
      </c>
      <c r="BE119" s="82" t="s">
        <v>1327</v>
      </c>
      <c r="BF119" s="382"/>
      <c r="BG119" s="1228"/>
      <c r="BH119" s="769">
        <v>120</v>
      </c>
      <c r="BI119" s="785" t="s">
        <v>2407</v>
      </c>
      <c r="BJ119" s="382" t="s">
        <v>2411</v>
      </c>
      <c r="BK119" s="382" t="s">
        <v>2412</v>
      </c>
      <c r="BL119" s="382" t="s">
        <v>2408</v>
      </c>
      <c r="BM119" s="788">
        <v>50841</v>
      </c>
      <c r="BN119" s="764" t="s">
        <v>2409</v>
      </c>
      <c r="BO119" s="764" t="s">
        <v>2410</v>
      </c>
      <c r="BP119" s="158"/>
    </row>
    <row r="120" spans="54:74">
      <c r="BB120" s="770">
        <v>600820</v>
      </c>
      <c r="BC120" s="382" t="str">
        <f t="shared" si="1"/>
        <v>札幌市北区北二十条西</v>
      </c>
      <c r="BD120" s="382" t="s">
        <v>572</v>
      </c>
      <c r="BE120" s="82" t="s">
        <v>1326</v>
      </c>
      <c r="BF120" s="382"/>
      <c r="BG120" s="1228"/>
      <c r="BH120" s="769">
        <v>121</v>
      </c>
      <c r="BI120" s="382"/>
      <c r="BJ120" s="382"/>
      <c r="BK120" s="382"/>
      <c r="BL120" s="382"/>
      <c r="BM120" s="788"/>
      <c r="BN120" s="766"/>
      <c r="BO120" s="382"/>
      <c r="BP120" s="158"/>
    </row>
    <row r="121" spans="54:74">
      <c r="BB121" s="770">
        <v>10021</v>
      </c>
      <c r="BC121" s="382" t="str">
        <f t="shared" si="1"/>
        <v>札幌市北区北二十一条西</v>
      </c>
      <c r="BD121" s="382" t="s">
        <v>572</v>
      </c>
      <c r="BE121" s="82" t="s">
        <v>599</v>
      </c>
      <c r="BF121" s="382"/>
      <c r="BG121" s="1228"/>
      <c r="BH121" s="769">
        <v>122</v>
      </c>
      <c r="BI121" s="382" t="s">
        <v>1548</v>
      </c>
      <c r="BJ121" s="382" t="s">
        <v>2144</v>
      </c>
      <c r="BK121" s="382" t="s">
        <v>2145</v>
      </c>
      <c r="BL121" s="382" t="s">
        <v>1730</v>
      </c>
      <c r="BM121" s="788">
        <v>50849</v>
      </c>
      <c r="BN121" s="764" t="s">
        <v>2379</v>
      </c>
      <c r="BO121" s="764" t="s">
        <v>2380</v>
      </c>
      <c r="BP121" s="158"/>
    </row>
    <row r="122" spans="54:74">
      <c r="BB122" s="770">
        <v>10022</v>
      </c>
      <c r="BC122" s="382" t="str">
        <f t="shared" si="1"/>
        <v>札幌市北区北二十二条西</v>
      </c>
      <c r="BD122" s="382" t="s">
        <v>572</v>
      </c>
      <c r="BE122" s="82" t="s">
        <v>600</v>
      </c>
      <c r="BF122" s="382"/>
      <c r="BG122" s="1228"/>
      <c r="BH122" s="769">
        <v>123</v>
      </c>
      <c r="BI122" s="382" t="s">
        <v>1446</v>
      </c>
      <c r="BJ122" s="382" t="s">
        <v>2142</v>
      </c>
      <c r="BK122" s="382" t="s">
        <v>2143</v>
      </c>
      <c r="BL122" s="382" t="s">
        <v>1731</v>
      </c>
      <c r="BM122" s="788">
        <v>50850</v>
      </c>
      <c r="BN122" s="764" t="s">
        <v>2399</v>
      </c>
      <c r="BO122" s="764" t="s">
        <v>2400</v>
      </c>
      <c r="BP122" s="347"/>
    </row>
    <row r="123" spans="54:74">
      <c r="BB123" s="770">
        <v>10023</v>
      </c>
      <c r="BC123" s="382" t="str">
        <f t="shared" si="1"/>
        <v>札幌市北区北二十三条西</v>
      </c>
      <c r="BD123" s="382" t="s">
        <v>572</v>
      </c>
      <c r="BE123" s="82" t="s">
        <v>653</v>
      </c>
      <c r="BF123" s="382"/>
      <c r="BG123" s="1228"/>
      <c r="BH123" s="769">
        <v>124</v>
      </c>
      <c r="BI123" s="382" t="s">
        <v>1576</v>
      </c>
      <c r="BJ123" s="382" t="s">
        <v>2140</v>
      </c>
      <c r="BK123" s="382" t="s">
        <v>2141</v>
      </c>
      <c r="BL123" s="382" t="s">
        <v>1732</v>
      </c>
      <c r="BM123" s="788">
        <v>50818</v>
      </c>
      <c r="BN123" s="764" t="s">
        <v>2395</v>
      </c>
      <c r="BO123" s="764" t="s">
        <v>2396</v>
      </c>
      <c r="BP123" s="158"/>
    </row>
    <row r="124" spans="54:74">
      <c r="BB124" s="770">
        <v>10024</v>
      </c>
      <c r="BC124" s="382" t="str">
        <f t="shared" si="1"/>
        <v>札幌市北区北二十四条西</v>
      </c>
      <c r="BD124" s="382" t="s">
        <v>572</v>
      </c>
      <c r="BE124" s="82" t="s">
        <v>654</v>
      </c>
      <c r="BF124" s="382"/>
      <c r="BG124" s="1228"/>
      <c r="BH124" s="769">
        <v>125</v>
      </c>
      <c r="BI124" s="382" t="s">
        <v>1719</v>
      </c>
      <c r="BJ124" s="382" t="s">
        <v>2139</v>
      </c>
      <c r="BK124" s="382" t="s">
        <v>1937</v>
      </c>
      <c r="BL124" s="382" t="s">
        <v>1733</v>
      </c>
      <c r="BM124" s="788">
        <v>50802</v>
      </c>
      <c r="BN124" s="764" t="s">
        <v>2385</v>
      </c>
      <c r="BO124" s="764" t="s">
        <v>2386</v>
      </c>
      <c r="BP124" s="158"/>
    </row>
    <row r="125" spans="54:74">
      <c r="BB125" s="770">
        <v>10025</v>
      </c>
      <c r="BC125" s="382" t="str">
        <f t="shared" si="1"/>
        <v>札幌市北区北二十五条西</v>
      </c>
      <c r="BD125" s="382" t="s">
        <v>572</v>
      </c>
      <c r="BE125" s="82" t="s">
        <v>655</v>
      </c>
      <c r="BF125" s="382"/>
      <c r="BG125" s="1228"/>
      <c r="BH125" s="769">
        <v>126</v>
      </c>
      <c r="BI125" s="382" t="s">
        <v>1575</v>
      </c>
      <c r="BJ125" s="382" t="s">
        <v>2137</v>
      </c>
      <c r="BK125" s="382" t="s">
        <v>2138</v>
      </c>
      <c r="BL125" s="382" t="s">
        <v>1734</v>
      </c>
      <c r="BM125" s="788">
        <v>50807</v>
      </c>
      <c r="BN125" s="764" t="s">
        <v>2369</v>
      </c>
      <c r="BO125" s="764" t="s">
        <v>2370</v>
      </c>
      <c r="BP125" s="158"/>
    </row>
    <row r="126" spans="54:74">
      <c r="BB126" s="770">
        <v>10026</v>
      </c>
      <c r="BC126" s="382" t="str">
        <f t="shared" si="1"/>
        <v>札幌市北区北二十六条西</v>
      </c>
      <c r="BD126" s="382" t="s">
        <v>572</v>
      </c>
      <c r="BE126" s="82" t="s">
        <v>656</v>
      </c>
      <c r="BF126" s="382"/>
      <c r="BG126" s="1228"/>
      <c r="BH126" s="769">
        <v>127</v>
      </c>
      <c r="BI126" s="785" t="s">
        <v>1720</v>
      </c>
      <c r="BJ126" s="382" t="s">
        <v>2135</v>
      </c>
      <c r="BK126" s="382" t="s">
        <v>2136</v>
      </c>
      <c r="BL126" s="382" t="s">
        <v>1735</v>
      </c>
      <c r="BM126" s="788">
        <v>612302</v>
      </c>
      <c r="BN126" s="764" t="s">
        <v>2373</v>
      </c>
      <c r="BO126" s="764" t="s">
        <v>2374</v>
      </c>
      <c r="BP126" s="158"/>
    </row>
    <row r="127" spans="54:74">
      <c r="BB127" s="770">
        <v>10027</v>
      </c>
      <c r="BC127" s="382" t="str">
        <f t="shared" ref="BC127:BC190" si="2">BD127&amp;BE127</f>
        <v>札幌市北区北二十七条西</v>
      </c>
      <c r="BD127" s="382" t="s">
        <v>572</v>
      </c>
      <c r="BE127" s="82" t="s">
        <v>657</v>
      </c>
      <c r="BF127" s="382"/>
      <c r="BG127" s="1228"/>
      <c r="BH127" s="769">
        <v>128</v>
      </c>
      <c r="BI127" s="382" t="s">
        <v>1547</v>
      </c>
      <c r="BJ127" s="382" t="s">
        <v>2133</v>
      </c>
      <c r="BK127" s="382" t="s">
        <v>2134</v>
      </c>
      <c r="BL127" s="382" t="s">
        <v>1736</v>
      </c>
      <c r="BM127" s="788">
        <v>612282</v>
      </c>
      <c r="BN127" s="764" t="s">
        <v>2389</v>
      </c>
      <c r="BO127" s="764" t="s">
        <v>2390</v>
      </c>
      <c r="BP127" s="158"/>
    </row>
    <row r="128" spans="54:74">
      <c r="BB128" s="770">
        <v>10028</v>
      </c>
      <c r="BC128" s="382" t="str">
        <f t="shared" si="2"/>
        <v>札幌市北区北二十八条西</v>
      </c>
      <c r="BD128" s="382" t="s">
        <v>572</v>
      </c>
      <c r="BE128" s="82" t="s">
        <v>658</v>
      </c>
      <c r="BF128" s="382"/>
      <c r="BG128" s="1228"/>
      <c r="BH128" s="769">
        <v>129</v>
      </c>
      <c r="BI128" s="382" t="s">
        <v>1549</v>
      </c>
      <c r="BJ128" s="382" t="s">
        <v>2131</v>
      </c>
      <c r="BK128" s="382" t="s">
        <v>2132</v>
      </c>
      <c r="BL128" s="382" t="s">
        <v>1737</v>
      </c>
      <c r="BM128" s="788">
        <v>612284</v>
      </c>
      <c r="BN128" s="764" t="s">
        <v>2401</v>
      </c>
      <c r="BO128" s="764" t="s">
        <v>2402</v>
      </c>
      <c r="BP128" s="158"/>
    </row>
    <row r="129" spans="54:74">
      <c r="BB129" s="770">
        <v>10029</v>
      </c>
      <c r="BC129" s="382" t="str">
        <f t="shared" si="2"/>
        <v>札幌市北区北二十九条西</v>
      </c>
      <c r="BD129" s="382" t="s">
        <v>572</v>
      </c>
      <c r="BE129" s="82" t="s">
        <v>659</v>
      </c>
      <c r="BF129" s="382"/>
      <c r="BG129" s="1228"/>
      <c r="BH129" s="769">
        <v>130</v>
      </c>
      <c r="BI129" s="382" t="s">
        <v>1586</v>
      </c>
      <c r="BJ129" s="382" t="s">
        <v>2129</v>
      </c>
      <c r="BK129" s="382" t="s">
        <v>2130</v>
      </c>
      <c r="BL129" s="382" t="s">
        <v>1738</v>
      </c>
      <c r="BM129" s="788">
        <v>50030</v>
      </c>
      <c r="BN129" s="382" t="s">
        <v>2413</v>
      </c>
      <c r="BO129" s="382" t="s">
        <v>2414</v>
      </c>
      <c r="BP129" s="158"/>
    </row>
    <row r="130" spans="54:74">
      <c r="BB130" s="770">
        <v>10030</v>
      </c>
      <c r="BC130" s="382" t="str">
        <f t="shared" si="2"/>
        <v>札幌市北区北三十条西</v>
      </c>
      <c r="BD130" s="382" t="s">
        <v>572</v>
      </c>
      <c r="BE130" s="82" t="s">
        <v>660</v>
      </c>
      <c r="BF130" s="382"/>
      <c r="BG130" s="1228"/>
      <c r="BH130" s="769">
        <v>131</v>
      </c>
      <c r="BI130" s="382" t="s">
        <v>1569</v>
      </c>
      <c r="BJ130" s="382" t="s">
        <v>2127</v>
      </c>
      <c r="BK130" s="382" t="s">
        <v>2128</v>
      </c>
      <c r="BL130" s="382" t="s">
        <v>1739</v>
      </c>
      <c r="BM130" s="788">
        <v>50031</v>
      </c>
      <c r="BN130" s="764" t="s">
        <v>2371</v>
      </c>
      <c r="BO130" s="764" t="s">
        <v>2372</v>
      </c>
      <c r="BP130" s="347"/>
    </row>
    <row r="131" spans="54:74">
      <c r="BB131" s="770">
        <v>10031</v>
      </c>
      <c r="BC131" s="382" t="str">
        <f t="shared" si="2"/>
        <v>札幌市北区北三十一条西</v>
      </c>
      <c r="BD131" s="382" t="s">
        <v>572</v>
      </c>
      <c r="BE131" s="82" t="s">
        <v>661</v>
      </c>
      <c r="BF131" s="382"/>
      <c r="BG131" s="1228"/>
      <c r="BH131" s="769">
        <v>132</v>
      </c>
      <c r="BI131" s="382" t="s">
        <v>1572</v>
      </c>
      <c r="BJ131" s="382" t="s">
        <v>2125</v>
      </c>
      <c r="BK131" s="382" t="s">
        <v>2126</v>
      </c>
      <c r="BL131" s="382" t="s">
        <v>1740</v>
      </c>
      <c r="BM131" s="788">
        <v>50823</v>
      </c>
      <c r="BN131" s="764" t="s">
        <v>2391</v>
      </c>
      <c r="BO131" s="764" t="s">
        <v>2392</v>
      </c>
      <c r="BP131" s="158"/>
    </row>
    <row r="132" spans="54:74">
      <c r="BB132" s="770">
        <v>10032</v>
      </c>
      <c r="BC132" s="382" t="str">
        <f t="shared" si="2"/>
        <v>札幌市北区北三十二条西</v>
      </c>
      <c r="BD132" s="382" t="s">
        <v>572</v>
      </c>
      <c r="BE132" s="82" t="s">
        <v>662</v>
      </c>
      <c r="BF132" s="382"/>
      <c r="BG132" s="1228"/>
      <c r="BH132" s="769">
        <v>133</v>
      </c>
      <c r="BI132" s="382" t="s">
        <v>1721</v>
      </c>
      <c r="BJ132" s="382" t="s">
        <v>2123</v>
      </c>
      <c r="BK132" s="382" t="s">
        <v>2124</v>
      </c>
      <c r="BL132" s="382" t="s">
        <v>1741</v>
      </c>
      <c r="BM132" s="788">
        <v>50832</v>
      </c>
      <c r="BN132" s="764" t="s">
        <v>2393</v>
      </c>
      <c r="BO132" s="764" t="s">
        <v>2394</v>
      </c>
      <c r="BP132" s="347"/>
    </row>
    <row r="133" spans="54:74">
      <c r="BB133" s="770">
        <v>10033</v>
      </c>
      <c r="BC133" s="382" t="str">
        <f t="shared" si="2"/>
        <v>札幌市北区北三十三条西</v>
      </c>
      <c r="BD133" s="382" t="s">
        <v>572</v>
      </c>
      <c r="BE133" s="82" t="s">
        <v>663</v>
      </c>
      <c r="BF133" s="382"/>
      <c r="BG133" s="1228"/>
      <c r="BH133" s="769">
        <v>134</v>
      </c>
      <c r="BI133" s="382" t="s">
        <v>1566</v>
      </c>
      <c r="BJ133" s="382" t="s">
        <v>2121</v>
      </c>
      <c r="BK133" s="382" t="s">
        <v>2122</v>
      </c>
      <c r="BL133" s="382" t="s">
        <v>1742</v>
      </c>
      <c r="BM133" s="788">
        <v>612261</v>
      </c>
      <c r="BN133" s="764" t="s">
        <v>2375</v>
      </c>
      <c r="BO133" s="764" t="s">
        <v>2376</v>
      </c>
      <c r="BP133" s="158"/>
    </row>
    <row r="134" spans="54:74">
      <c r="BB134" s="770">
        <v>10034</v>
      </c>
      <c r="BC134" s="382" t="str">
        <f t="shared" si="2"/>
        <v>札幌市北区北三十四条西</v>
      </c>
      <c r="BD134" s="382" t="s">
        <v>572</v>
      </c>
      <c r="BE134" s="82" t="s">
        <v>664</v>
      </c>
      <c r="BF134" s="382"/>
      <c r="BG134" s="1228" t="s">
        <v>1743</v>
      </c>
      <c r="BH134" s="82">
        <v>135</v>
      </c>
      <c r="BI134" s="382" t="s">
        <v>1468</v>
      </c>
      <c r="BJ134" s="781" t="s">
        <v>2083</v>
      </c>
      <c r="BK134" s="781" t="s">
        <v>2084</v>
      </c>
      <c r="BL134" s="382" t="s">
        <v>1744</v>
      </c>
      <c r="BM134" s="788">
        <v>30806</v>
      </c>
      <c r="BN134" s="764" t="s">
        <v>2548</v>
      </c>
      <c r="BO134" s="764" t="s">
        <v>2549</v>
      </c>
      <c r="BP134" s="344"/>
      <c r="BQ134" s="346"/>
      <c r="BR134" s="346"/>
      <c r="BS134" s="346"/>
      <c r="BT134" s="346"/>
      <c r="BU134" s="346"/>
      <c r="BV134" s="346"/>
    </row>
    <row r="135" spans="54:74">
      <c r="BB135" s="770">
        <v>10035</v>
      </c>
      <c r="BC135" s="382" t="str">
        <f t="shared" si="2"/>
        <v>札幌市北区北三十五条西</v>
      </c>
      <c r="BD135" s="382" t="s">
        <v>572</v>
      </c>
      <c r="BE135" s="82" t="s">
        <v>665</v>
      </c>
      <c r="BF135" s="382"/>
      <c r="BG135" s="1228"/>
      <c r="BH135" s="82">
        <v>136</v>
      </c>
      <c r="BI135" s="382" t="s">
        <v>1443</v>
      </c>
      <c r="BJ135" s="382" t="s">
        <v>2085</v>
      </c>
      <c r="BK135" s="382" t="s">
        <v>2086</v>
      </c>
      <c r="BL135" s="382" t="s">
        <v>1745</v>
      </c>
      <c r="BM135" s="765">
        <v>30808</v>
      </c>
      <c r="BN135" s="764" t="s">
        <v>2522</v>
      </c>
      <c r="BO135" s="764" t="s">
        <v>2523</v>
      </c>
      <c r="BP135" s="344"/>
      <c r="BQ135" s="348"/>
      <c r="BR135" s="346"/>
      <c r="BS135" s="343"/>
      <c r="BT135" s="343"/>
      <c r="BU135" s="346"/>
      <c r="BV135" s="346"/>
    </row>
    <row r="136" spans="54:74">
      <c r="BB136" s="770">
        <v>10036</v>
      </c>
      <c r="BC136" s="382" t="str">
        <f t="shared" si="2"/>
        <v>札幌市北区北三十六条西</v>
      </c>
      <c r="BD136" s="382" t="s">
        <v>572</v>
      </c>
      <c r="BE136" s="82" t="s">
        <v>666</v>
      </c>
      <c r="BF136" s="382"/>
      <c r="BG136" s="1228"/>
      <c r="BH136" s="82">
        <v>137</v>
      </c>
      <c r="BI136" s="785" t="s">
        <v>1456</v>
      </c>
      <c r="BJ136" s="382" t="s">
        <v>2087</v>
      </c>
      <c r="BK136" s="382" t="s">
        <v>2088</v>
      </c>
      <c r="BL136" s="382" t="s">
        <v>1746</v>
      </c>
      <c r="BM136" s="765">
        <v>30822</v>
      </c>
      <c r="BN136" s="764" t="s">
        <v>2554</v>
      </c>
      <c r="BO136" s="764" t="s">
        <v>2555</v>
      </c>
      <c r="BP136" s="344"/>
      <c r="BQ136" s="348"/>
      <c r="BR136" s="346"/>
      <c r="BS136" s="343"/>
      <c r="BT136" s="343"/>
      <c r="BU136" s="346"/>
      <c r="BV136" s="346"/>
    </row>
    <row r="137" spans="54:74">
      <c r="BB137" s="770">
        <v>10037</v>
      </c>
      <c r="BC137" s="382" t="str">
        <f t="shared" si="2"/>
        <v>札幌市北区北三十七条西</v>
      </c>
      <c r="BD137" s="382" t="s">
        <v>572</v>
      </c>
      <c r="BE137" s="82" t="s">
        <v>667</v>
      </c>
      <c r="BF137" s="382"/>
      <c r="BG137" s="1228"/>
      <c r="BH137" s="82">
        <v>138</v>
      </c>
      <c r="BI137" s="785" t="s">
        <v>1454</v>
      </c>
      <c r="BJ137" s="382" t="s">
        <v>2089</v>
      </c>
      <c r="BK137" s="382" t="s">
        <v>2090</v>
      </c>
      <c r="BL137" s="382" t="s">
        <v>1747</v>
      </c>
      <c r="BM137" s="765">
        <v>30811</v>
      </c>
      <c r="BN137" s="764" t="s">
        <v>2526</v>
      </c>
      <c r="BO137" s="764" t="s">
        <v>2527</v>
      </c>
      <c r="BP137" s="344"/>
      <c r="BQ137" s="348"/>
      <c r="BR137" s="346"/>
      <c r="BS137" s="343"/>
      <c r="BT137" s="343"/>
      <c r="BU137" s="346"/>
      <c r="BV137" s="346"/>
    </row>
    <row r="138" spans="54:74">
      <c r="BB138" s="770">
        <v>10038</v>
      </c>
      <c r="BC138" s="382" t="str">
        <f t="shared" si="2"/>
        <v>札幌市北区北三十八条西</v>
      </c>
      <c r="BD138" s="382" t="s">
        <v>572</v>
      </c>
      <c r="BE138" s="82" t="s">
        <v>668</v>
      </c>
      <c r="BF138" s="382"/>
      <c r="BG138" s="1228"/>
      <c r="BH138" s="82">
        <v>139</v>
      </c>
      <c r="BI138" s="382" t="s">
        <v>1529</v>
      </c>
      <c r="BJ138" s="382" t="s">
        <v>2091</v>
      </c>
      <c r="BK138" s="382" t="s">
        <v>2092</v>
      </c>
      <c r="BL138" s="382" t="s">
        <v>1748</v>
      </c>
      <c r="BM138" s="765">
        <v>30864</v>
      </c>
      <c r="BN138" s="764" t="s">
        <v>2558</v>
      </c>
      <c r="BO138" s="764" t="s">
        <v>2559</v>
      </c>
      <c r="BP138" s="344"/>
      <c r="BQ138" s="348"/>
      <c r="BR138" s="346"/>
      <c r="BS138" s="343"/>
      <c r="BT138" s="343"/>
      <c r="BU138" s="346"/>
      <c r="BV138" s="346"/>
    </row>
    <row r="139" spans="54:74">
      <c r="BB139" s="770">
        <v>10039</v>
      </c>
      <c r="BC139" s="382" t="str">
        <f t="shared" si="2"/>
        <v>札幌市北区北三十九条西</v>
      </c>
      <c r="BD139" s="382" t="s">
        <v>572</v>
      </c>
      <c r="BE139" s="82" t="s">
        <v>669</v>
      </c>
      <c r="BF139" s="382"/>
      <c r="BG139" s="1228"/>
      <c r="BH139" s="82">
        <v>140</v>
      </c>
      <c r="BI139" s="785" t="s">
        <v>1455</v>
      </c>
      <c r="BJ139" s="382" t="s">
        <v>2093</v>
      </c>
      <c r="BK139" s="382" t="s">
        <v>1955</v>
      </c>
      <c r="BL139" s="382" t="s">
        <v>1749</v>
      </c>
      <c r="BM139" s="765">
        <v>30854</v>
      </c>
      <c r="BN139" s="764" t="s">
        <v>2556</v>
      </c>
      <c r="BO139" s="764" t="s">
        <v>2557</v>
      </c>
      <c r="BP139" s="344"/>
      <c r="BQ139" s="348"/>
      <c r="BR139" s="346"/>
      <c r="BS139" s="343"/>
      <c r="BT139" s="343"/>
      <c r="BU139" s="346"/>
      <c r="BV139" s="346"/>
    </row>
    <row r="140" spans="54:74">
      <c r="BB140" s="770">
        <v>10040</v>
      </c>
      <c r="BC140" s="382" t="str">
        <f t="shared" si="2"/>
        <v>札幌市北区北四十条西</v>
      </c>
      <c r="BD140" s="382" t="s">
        <v>572</v>
      </c>
      <c r="BE140" s="82" t="s">
        <v>670</v>
      </c>
      <c r="BF140" s="382"/>
      <c r="BG140" s="1228"/>
      <c r="BH140" s="82">
        <v>141</v>
      </c>
      <c r="BI140" s="382" t="s">
        <v>1517</v>
      </c>
      <c r="BJ140" s="382" t="s">
        <v>2094</v>
      </c>
      <c r="BK140" s="382" t="s">
        <v>2095</v>
      </c>
      <c r="BL140" s="382" t="s">
        <v>1750</v>
      </c>
      <c r="BM140" s="765">
        <v>30013</v>
      </c>
      <c r="BN140" s="764" t="s">
        <v>2544</v>
      </c>
      <c r="BO140" s="764" t="s">
        <v>2545</v>
      </c>
      <c r="BP140" s="344"/>
      <c r="BQ140" s="348"/>
      <c r="BR140" s="346"/>
      <c r="BS140" s="343"/>
      <c r="BT140" s="343"/>
      <c r="BU140" s="346"/>
      <c r="BV140" s="346"/>
    </row>
    <row r="141" spans="54:74">
      <c r="BB141" s="770">
        <v>28021</v>
      </c>
      <c r="BC141" s="382" t="str">
        <f t="shared" si="2"/>
        <v>札幌市北区篠路一条</v>
      </c>
      <c r="BD141" s="382" t="s">
        <v>572</v>
      </c>
      <c r="BE141" s="82" t="s">
        <v>671</v>
      </c>
      <c r="BF141" s="382"/>
      <c r="BG141" s="1228"/>
      <c r="BH141" s="82">
        <v>142</v>
      </c>
      <c r="BI141" s="382" t="s">
        <v>1530</v>
      </c>
      <c r="BJ141" s="382" t="s">
        <v>2096</v>
      </c>
      <c r="BK141" s="382" t="s">
        <v>2097</v>
      </c>
      <c r="BL141" s="382" t="s">
        <v>1751</v>
      </c>
      <c r="BM141" s="765">
        <v>30004</v>
      </c>
      <c r="BN141" s="764" t="s">
        <v>2536</v>
      </c>
      <c r="BO141" s="764" t="s">
        <v>2537</v>
      </c>
      <c r="BP141" s="344"/>
      <c r="BQ141" s="348"/>
      <c r="BR141" s="346"/>
      <c r="BS141" s="343"/>
      <c r="BT141" s="343"/>
      <c r="BU141" s="346"/>
      <c r="BV141" s="346"/>
    </row>
    <row r="142" spans="54:74">
      <c r="BB142" s="770">
        <v>28022</v>
      </c>
      <c r="BC142" s="382" t="str">
        <f t="shared" si="2"/>
        <v>札幌市北区篠路二条</v>
      </c>
      <c r="BD142" s="382" t="s">
        <v>572</v>
      </c>
      <c r="BE142" s="82" t="s">
        <v>672</v>
      </c>
      <c r="BF142" s="382"/>
      <c r="BG142" s="1228"/>
      <c r="BH142" s="82">
        <v>143</v>
      </c>
      <c r="BI142" s="382" t="s">
        <v>1557</v>
      </c>
      <c r="BJ142" s="382" t="s">
        <v>2098</v>
      </c>
      <c r="BK142" s="382" t="s">
        <v>2099</v>
      </c>
      <c r="BL142" s="382" t="s">
        <v>1752</v>
      </c>
      <c r="BM142" s="765">
        <v>30022</v>
      </c>
      <c r="BN142" s="764" t="s">
        <v>2530</v>
      </c>
      <c r="BO142" s="764" t="s">
        <v>2531</v>
      </c>
      <c r="BP142" s="344"/>
      <c r="BQ142" s="348"/>
      <c r="BR142" s="346"/>
      <c r="BS142" s="343"/>
      <c r="BT142" s="343"/>
      <c r="BU142" s="346"/>
      <c r="BV142" s="346"/>
    </row>
    <row r="143" spans="54:74">
      <c r="BB143" s="770">
        <v>28023</v>
      </c>
      <c r="BC143" s="382" t="str">
        <f t="shared" si="2"/>
        <v>札幌市北区篠路三条</v>
      </c>
      <c r="BD143" s="382" t="s">
        <v>572</v>
      </c>
      <c r="BE143" s="82" t="s">
        <v>673</v>
      </c>
      <c r="BF143" s="382"/>
      <c r="BG143" s="1228"/>
      <c r="BH143" s="82">
        <v>144</v>
      </c>
      <c r="BI143" s="382" t="s">
        <v>1570</v>
      </c>
      <c r="BJ143" s="382" t="s">
        <v>2100</v>
      </c>
      <c r="BK143" s="382" t="s">
        <v>2101</v>
      </c>
      <c r="BL143" s="382" t="s">
        <v>1753</v>
      </c>
      <c r="BM143" s="765">
        <v>30022</v>
      </c>
      <c r="BN143" s="764" t="s">
        <v>2552</v>
      </c>
      <c r="BO143" s="764" t="s">
        <v>2553</v>
      </c>
      <c r="BP143" s="344"/>
      <c r="BQ143" s="348"/>
      <c r="BR143" s="346"/>
      <c r="BS143" s="343"/>
      <c r="BT143" s="343"/>
      <c r="BU143" s="346"/>
      <c r="BV143" s="346"/>
    </row>
    <row r="144" spans="54:74">
      <c r="BB144" s="770">
        <v>28024</v>
      </c>
      <c r="BC144" s="382" t="str">
        <f t="shared" si="2"/>
        <v>札幌市北区篠路四条</v>
      </c>
      <c r="BD144" s="382" t="s">
        <v>572</v>
      </c>
      <c r="BE144" s="82" t="s">
        <v>674</v>
      </c>
      <c r="BF144" s="382"/>
      <c r="BG144" s="1228"/>
      <c r="BH144" s="82">
        <v>145</v>
      </c>
      <c r="BI144" s="382" t="s">
        <v>1559</v>
      </c>
      <c r="BJ144" s="382" t="s">
        <v>2102</v>
      </c>
      <c r="BK144" s="382" t="s">
        <v>2103</v>
      </c>
      <c r="BL144" s="382" t="s">
        <v>1754</v>
      </c>
      <c r="BM144" s="765">
        <v>30028</v>
      </c>
      <c r="BN144" s="764" t="s">
        <v>2534</v>
      </c>
      <c r="BO144" s="764" t="s">
        <v>2535</v>
      </c>
      <c r="BP144" s="344"/>
      <c r="BQ144" s="348"/>
      <c r="BR144" s="346"/>
      <c r="BS144" s="343"/>
      <c r="BT144" s="343"/>
      <c r="BU144" s="346"/>
      <c r="BV144" s="346"/>
    </row>
    <row r="145" spans="54:74">
      <c r="BB145" s="770">
        <v>28025</v>
      </c>
      <c r="BC145" s="382" t="str">
        <f t="shared" si="2"/>
        <v>札幌市北区篠路五条</v>
      </c>
      <c r="BD145" s="382" t="s">
        <v>572</v>
      </c>
      <c r="BE145" s="82" t="s">
        <v>675</v>
      </c>
      <c r="BF145" s="382"/>
      <c r="BG145" s="1228"/>
      <c r="BH145" s="82">
        <v>146</v>
      </c>
      <c r="BI145" s="382" t="s">
        <v>1584</v>
      </c>
      <c r="BJ145" s="382" t="s">
        <v>2104</v>
      </c>
      <c r="BK145" s="382" t="s">
        <v>2105</v>
      </c>
      <c r="BL145" s="382" t="s">
        <v>1755</v>
      </c>
      <c r="BM145" s="765">
        <v>30871</v>
      </c>
      <c r="BN145" s="764" t="s">
        <v>2560</v>
      </c>
      <c r="BO145" s="764" t="s">
        <v>2561</v>
      </c>
      <c r="BP145" s="344"/>
      <c r="BQ145" s="348"/>
      <c r="BR145" s="346"/>
      <c r="BS145" s="343"/>
      <c r="BT145" s="343"/>
      <c r="BU145" s="346"/>
      <c r="BV145" s="346"/>
    </row>
    <row r="146" spans="54:74">
      <c r="BB146" s="770">
        <v>28026</v>
      </c>
      <c r="BC146" s="382" t="str">
        <f t="shared" si="2"/>
        <v>札幌市北区篠路六条</v>
      </c>
      <c r="BD146" s="382" t="s">
        <v>572</v>
      </c>
      <c r="BE146" s="82" t="s">
        <v>676</v>
      </c>
      <c r="BF146" s="382"/>
      <c r="BG146" s="1228"/>
      <c r="BH146" s="82">
        <v>147</v>
      </c>
      <c r="BI146" s="382" t="s">
        <v>1553</v>
      </c>
      <c r="BJ146" s="382" t="s">
        <v>2106</v>
      </c>
      <c r="BK146" s="382" t="s">
        <v>2107</v>
      </c>
      <c r="BL146" s="382" t="s">
        <v>1756</v>
      </c>
      <c r="BM146" s="765">
        <v>30833</v>
      </c>
      <c r="BN146" s="764" t="s">
        <v>2546</v>
      </c>
      <c r="BO146" s="764" t="s">
        <v>2547</v>
      </c>
      <c r="BP146" s="344"/>
      <c r="BQ146" s="348"/>
      <c r="BR146" s="346"/>
      <c r="BS146" s="343"/>
      <c r="BT146" s="343"/>
      <c r="BU146" s="346"/>
      <c r="BV146" s="346"/>
    </row>
    <row r="147" spans="54:74">
      <c r="BB147" s="770">
        <v>28027</v>
      </c>
      <c r="BC147" s="382" t="str">
        <f t="shared" si="2"/>
        <v>札幌市北区篠路七条</v>
      </c>
      <c r="BD147" s="382" t="s">
        <v>572</v>
      </c>
      <c r="BE147" s="82" t="s">
        <v>677</v>
      </c>
      <c r="BF147" s="382"/>
      <c r="BG147" s="1228"/>
      <c r="BH147" s="82">
        <v>148</v>
      </c>
      <c r="BI147" s="382" t="s">
        <v>1458</v>
      </c>
      <c r="BJ147" s="382" t="s">
        <v>2108</v>
      </c>
      <c r="BK147" s="382" t="s">
        <v>2109</v>
      </c>
      <c r="BL147" s="382" t="s">
        <v>1757</v>
      </c>
      <c r="BM147" s="765">
        <v>30834</v>
      </c>
      <c r="BN147" s="764" t="s">
        <v>2538</v>
      </c>
      <c r="BO147" s="764" t="s">
        <v>2539</v>
      </c>
      <c r="BP147" s="344"/>
      <c r="BQ147" s="348"/>
      <c r="BR147" s="346"/>
      <c r="BS147" s="343"/>
      <c r="BT147" s="343"/>
      <c r="BU147" s="346"/>
      <c r="BV147" s="346"/>
    </row>
    <row r="148" spans="54:74">
      <c r="BB148" s="770">
        <v>28028</v>
      </c>
      <c r="BC148" s="382" t="str">
        <f t="shared" si="2"/>
        <v>札幌市北区篠路八条</v>
      </c>
      <c r="BD148" s="382" t="s">
        <v>572</v>
      </c>
      <c r="BE148" s="82" t="s">
        <v>678</v>
      </c>
      <c r="BF148" s="382"/>
      <c r="BG148" s="1228"/>
      <c r="BH148" s="82">
        <v>149</v>
      </c>
      <c r="BI148" s="785" t="s">
        <v>1459</v>
      </c>
      <c r="BJ148" s="382" t="s">
        <v>2110</v>
      </c>
      <c r="BK148" s="382" t="s">
        <v>2111</v>
      </c>
      <c r="BL148" s="382" t="s">
        <v>1758</v>
      </c>
      <c r="BM148" s="765">
        <v>30836</v>
      </c>
      <c r="BN148" s="764" t="s">
        <v>2542</v>
      </c>
      <c r="BO148" s="764" t="s">
        <v>2543</v>
      </c>
      <c r="BP148" s="344"/>
      <c r="BQ148" s="348"/>
      <c r="BR148" s="346"/>
      <c r="BS148" s="343"/>
      <c r="BT148" s="343"/>
      <c r="BU148" s="346"/>
      <c r="BV148" s="346"/>
    </row>
    <row r="149" spans="54:74">
      <c r="BB149" s="770">
        <v>28029</v>
      </c>
      <c r="BC149" s="382" t="str">
        <f t="shared" si="2"/>
        <v>札幌市北区篠路九条</v>
      </c>
      <c r="BD149" s="382" t="s">
        <v>572</v>
      </c>
      <c r="BE149" s="82" t="s">
        <v>679</v>
      </c>
      <c r="BF149" s="382"/>
      <c r="BG149" s="1228"/>
      <c r="BH149" s="82">
        <v>150</v>
      </c>
      <c r="BI149" s="382" t="s">
        <v>1512</v>
      </c>
      <c r="BJ149" s="382" t="s">
        <v>2112</v>
      </c>
      <c r="BK149" s="382" t="s">
        <v>2113</v>
      </c>
      <c r="BL149" s="382" t="s">
        <v>1759</v>
      </c>
      <c r="BM149" s="765">
        <v>30024</v>
      </c>
      <c r="BN149" s="764" t="s">
        <v>2532</v>
      </c>
      <c r="BO149" s="764" t="s">
        <v>2533</v>
      </c>
      <c r="BP149" s="344"/>
      <c r="BQ149" s="348"/>
      <c r="BR149" s="346"/>
      <c r="BS149" s="343"/>
      <c r="BT149" s="343"/>
      <c r="BU149" s="346"/>
      <c r="BV149" s="346"/>
    </row>
    <row r="150" spans="54:74">
      <c r="BB150" s="770">
        <v>28030</v>
      </c>
      <c r="BC150" s="382" t="str">
        <f t="shared" si="2"/>
        <v>札幌市北区篠路十条</v>
      </c>
      <c r="BD150" s="382" t="s">
        <v>572</v>
      </c>
      <c r="BE150" s="82" t="s">
        <v>680</v>
      </c>
      <c r="BF150" s="382"/>
      <c r="BG150" s="1228"/>
      <c r="BH150" s="82">
        <v>151</v>
      </c>
      <c r="BI150" s="382" t="s">
        <v>1531</v>
      </c>
      <c r="BJ150" s="382" t="s">
        <v>2114</v>
      </c>
      <c r="BK150" s="382" t="s">
        <v>2115</v>
      </c>
      <c r="BL150" s="382" t="s">
        <v>1760</v>
      </c>
      <c r="BM150" s="765">
        <v>30026</v>
      </c>
      <c r="BN150" s="764" t="s">
        <v>2540</v>
      </c>
      <c r="BO150" s="764" t="s">
        <v>2541</v>
      </c>
      <c r="BP150" s="344"/>
      <c r="BQ150" s="348"/>
      <c r="BR150" s="346"/>
      <c r="BS150" s="343"/>
      <c r="BT150" s="343"/>
      <c r="BU150" s="346"/>
      <c r="BV150" s="346"/>
    </row>
    <row r="151" spans="54:74">
      <c r="BB151" s="770">
        <v>28052</v>
      </c>
      <c r="BC151" s="382" t="str">
        <f t="shared" si="2"/>
        <v>札幌市北区篠路町上篠路</v>
      </c>
      <c r="BD151" s="382" t="s">
        <v>572</v>
      </c>
      <c r="BE151" s="82" t="s">
        <v>681</v>
      </c>
      <c r="BF151" s="382"/>
      <c r="BG151" s="1228"/>
      <c r="BH151" s="82">
        <v>152</v>
      </c>
      <c r="BI151" s="382" t="s">
        <v>1552</v>
      </c>
      <c r="BJ151" s="382" t="s">
        <v>2116</v>
      </c>
      <c r="BK151" s="382" t="s">
        <v>2117</v>
      </c>
      <c r="BL151" s="382" t="s">
        <v>1761</v>
      </c>
      <c r="BM151" s="765">
        <v>30027</v>
      </c>
      <c r="BN151" s="764" t="s">
        <v>2550</v>
      </c>
      <c r="BO151" s="764" t="s">
        <v>2551</v>
      </c>
      <c r="BP151" s="344"/>
      <c r="BQ151" s="348"/>
      <c r="BR151" s="346"/>
      <c r="BS151" s="343"/>
      <c r="BT151" s="343"/>
      <c r="BU151" s="346"/>
      <c r="BV151" s="346"/>
    </row>
    <row r="152" spans="54:74">
      <c r="BB152" s="770">
        <v>28053</v>
      </c>
      <c r="BC152" s="382" t="str">
        <f t="shared" si="2"/>
        <v>札幌市北区篠路町篠路</v>
      </c>
      <c r="BD152" s="382" t="s">
        <v>572</v>
      </c>
      <c r="BE152" s="82" t="s">
        <v>682</v>
      </c>
      <c r="BF152" s="382"/>
      <c r="BG152" s="1228"/>
      <c r="BH152" s="82">
        <v>153</v>
      </c>
      <c r="BI152" s="785" t="s">
        <v>1451</v>
      </c>
      <c r="BJ152" s="382" t="s">
        <v>2114</v>
      </c>
      <c r="BK152" s="382" t="s">
        <v>2118</v>
      </c>
      <c r="BL152" s="382" t="s">
        <v>1762</v>
      </c>
      <c r="BM152" s="765">
        <v>30026</v>
      </c>
      <c r="BN152" s="764" t="s">
        <v>2528</v>
      </c>
      <c r="BO152" s="764" t="s">
        <v>2529</v>
      </c>
      <c r="BP152" s="344"/>
      <c r="BQ152" s="348"/>
      <c r="BR152" s="346"/>
      <c r="BS152" s="343"/>
      <c r="BT152" s="343"/>
      <c r="BU152" s="346"/>
      <c r="BV152" s="346"/>
    </row>
    <row r="153" spans="54:74">
      <c r="BB153" s="770">
        <v>28051</v>
      </c>
      <c r="BC153" s="382" t="str">
        <f t="shared" si="2"/>
        <v>札幌市北区篠路町太平</v>
      </c>
      <c r="BD153" s="382" t="s">
        <v>572</v>
      </c>
      <c r="BE153" s="82" t="s">
        <v>683</v>
      </c>
      <c r="BF153" s="382"/>
      <c r="BG153" s="1228"/>
      <c r="BH153" s="82">
        <v>154</v>
      </c>
      <c r="BI153" s="785" t="s">
        <v>1481</v>
      </c>
      <c r="BJ153" s="382" t="s">
        <v>2119</v>
      </c>
      <c r="BK153" s="382" t="s">
        <v>2120</v>
      </c>
      <c r="BL153" s="382" t="s">
        <v>1763</v>
      </c>
      <c r="BM153" s="765">
        <v>30027</v>
      </c>
      <c r="BN153" s="764" t="s">
        <v>2524</v>
      </c>
      <c r="BO153" s="764" t="s">
        <v>2525</v>
      </c>
      <c r="BP153" s="344"/>
      <c r="BQ153" s="348"/>
      <c r="BR153" s="346"/>
      <c r="BS153" s="343"/>
      <c r="BT153" s="343"/>
      <c r="BU153" s="346"/>
      <c r="BV153" s="346"/>
    </row>
    <row r="154" spans="54:74">
      <c r="BB154" s="770">
        <v>28054</v>
      </c>
      <c r="BC154" s="382" t="str">
        <f t="shared" si="2"/>
        <v>札幌市北区篠路町拓北</v>
      </c>
      <c r="BD154" s="382" t="s">
        <v>572</v>
      </c>
      <c r="BE154" s="82" t="s">
        <v>684</v>
      </c>
      <c r="BF154" s="382"/>
      <c r="BG154" s="1228" t="s">
        <v>1764</v>
      </c>
      <c r="BH154" s="82">
        <v>155</v>
      </c>
      <c r="BI154" s="382" t="s">
        <v>1495</v>
      </c>
      <c r="BJ154" s="781" t="s">
        <v>2046</v>
      </c>
      <c r="BK154" s="781" t="s">
        <v>1905</v>
      </c>
      <c r="BL154" s="382" t="s">
        <v>1765</v>
      </c>
      <c r="BM154" s="788">
        <v>620022</v>
      </c>
      <c r="BN154" s="764" t="s">
        <v>2485</v>
      </c>
      <c r="BO154" s="764" t="s">
        <v>2486</v>
      </c>
      <c r="BP154" s="344"/>
      <c r="BQ154" s="348"/>
      <c r="BR154" s="346"/>
      <c r="BS154" s="343"/>
      <c r="BT154" s="343"/>
      <c r="BU154" s="346"/>
      <c r="BV154" s="346"/>
    </row>
    <row r="155" spans="54:74">
      <c r="BB155" s="770">
        <v>28055</v>
      </c>
      <c r="BC155" s="382" t="str">
        <f t="shared" si="2"/>
        <v>札幌市北区篠路町福移</v>
      </c>
      <c r="BD155" s="382" t="s">
        <v>572</v>
      </c>
      <c r="BE155" s="82" t="s">
        <v>685</v>
      </c>
      <c r="BF155" s="382"/>
      <c r="BG155" s="1228"/>
      <c r="BH155" s="82">
        <v>156</v>
      </c>
      <c r="BI155" s="382" t="s">
        <v>1571</v>
      </c>
      <c r="BJ155" s="382" t="s">
        <v>2047</v>
      </c>
      <c r="BK155" s="382" t="s">
        <v>2048</v>
      </c>
      <c r="BL155" s="382" t="s">
        <v>1766</v>
      </c>
      <c r="BM155" s="765">
        <v>620024</v>
      </c>
      <c r="BN155" s="764" t="s">
        <v>2507</v>
      </c>
      <c r="BO155" s="764" t="s">
        <v>2508</v>
      </c>
      <c r="BP155" s="344"/>
      <c r="BQ155" s="348"/>
      <c r="BR155" s="346"/>
      <c r="BS155" s="343"/>
      <c r="BT155" s="343"/>
      <c r="BU155" s="346"/>
      <c r="BV155" s="346"/>
    </row>
    <row r="156" spans="54:74">
      <c r="BB156" s="770">
        <v>10930</v>
      </c>
      <c r="BC156" s="382" t="str">
        <f t="shared" si="2"/>
        <v>札幌市北区新川</v>
      </c>
      <c r="BD156" s="382" t="s">
        <v>572</v>
      </c>
      <c r="BE156" s="82" t="s">
        <v>686</v>
      </c>
      <c r="BF156" s="382"/>
      <c r="BG156" s="1228"/>
      <c r="BH156" s="82">
        <v>157</v>
      </c>
      <c r="BI156" s="785" t="s">
        <v>1444</v>
      </c>
      <c r="BJ156" s="382" t="s">
        <v>2049</v>
      </c>
      <c r="BK156" s="382" t="s">
        <v>2050</v>
      </c>
      <c r="BL156" s="382" t="s">
        <v>1767</v>
      </c>
      <c r="BM156" s="765">
        <v>620051</v>
      </c>
      <c r="BN156" s="764" t="s">
        <v>2517</v>
      </c>
      <c r="BO156" s="764" t="s">
        <v>2518</v>
      </c>
      <c r="BP156" s="344"/>
      <c r="BQ156" s="348"/>
      <c r="BR156" s="346"/>
      <c r="BS156" s="343"/>
      <c r="BT156" s="343"/>
      <c r="BU156" s="346"/>
      <c r="BV156" s="346"/>
    </row>
    <row r="157" spans="54:74">
      <c r="BB157" s="770">
        <v>10921</v>
      </c>
      <c r="BC157" s="382" t="str">
        <f t="shared" si="2"/>
        <v>札幌市北区新川一条</v>
      </c>
      <c r="BD157" s="382" t="s">
        <v>572</v>
      </c>
      <c r="BE157" s="82" t="s">
        <v>687</v>
      </c>
      <c r="BF157" s="382"/>
      <c r="BG157" s="1228"/>
      <c r="BH157" s="82">
        <v>158</v>
      </c>
      <c r="BI157" s="382" t="s">
        <v>1534</v>
      </c>
      <c r="BJ157" s="382" t="s">
        <v>2049</v>
      </c>
      <c r="BK157" s="382" t="s">
        <v>2051</v>
      </c>
      <c r="BL157" s="382" t="s">
        <v>1768</v>
      </c>
      <c r="BM157" s="765">
        <v>620051</v>
      </c>
      <c r="BN157" s="764" t="s">
        <v>2499</v>
      </c>
      <c r="BO157" s="764" t="s">
        <v>2500</v>
      </c>
      <c r="BP157" s="344"/>
      <c r="BQ157" s="348"/>
      <c r="BR157" s="346"/>
      <c r="BS157" s="343"/>
      <c r="BT157" s="343"/>
      <c r="BU157" s="346"/>
      <c r="BV157" s="346"/>
    </row>
    <row r="158" spans="54:74">
      <c r="BB158" s="770">
        <v>10922</v>
      </c>
      <c r="BC158" s="382" t="str">
        <f t="shared" si="2"/>
        <v>札幌市北区新川二条</v>
      </c>
      <c r="BD158" s="382" t="s">
        <v>572</v>
      </c>
      <c r="BE158" s="82" t="s">
        <v>688</v>
      </c>
      <c r="BF158" s="382"/>
      <c r="BG158" s="1228"/>
      <c r="BH158" s="82">
        <v>159</v>
      </c>
      <c r="BI158" s="382" t="s">
        <v>1496</v>
      </c>
      <c r="BJ158" s="382" t="s">
        <v>2052</v>
      </c>
      <c r="BK158" s="382" t="s">
        <v>2053</v>
      </c>
      <c r="BL158" s="382" t="s">
        <v>1769</v>
      </c>
      <c r="BM158" s="765">
        <v>620053</v>
      </c>
      <c r="BN158" s="764" t="s">
        <v>2497</v>
      </c>
      <c r="BO158" s="764" t="s">
        <v>2498</v>
      </c>
      <c r="BP158" s="344"/>
      <c r="BQ158" s="348"/>
      <c r="BR158" s="346"/>
      <c r="BS158" s="343"/>
      <c r="BT158" s="343"/>
      <c r="BU158" s="346"/>
      <c r="BV158" s="346"/>
    </row>
    <row r="159" spans="54:74">
      <c r="BB159" s="770">
        <v>10923</v>
      </c>
      <c r="BC159" s="382" t="str">
        <f t="shared" si="2"/>
        <v>札幌市北区新川三条</v>
      </c>
      <c r="BD159" s="382" t="s">
        <v>572</v>
      </c>
      <c r="BE159" s="82" t="s">
        <v>689</v>
      </c>
      <c r="BF159" s="382"/>
      <c r="BG159" s="1228"/>
      <c r="BH159" s="82">
        <v>160</v>
      </c>
      <c r="BI159" s="785" t="s">
        <v>1480</v>
      </c>
      <c r="BJ159" s="382" t="s">
        <v>2054</v>
      </c>
      <c r="BK159" s="382" t="s">
        <v>2055</v>
      </c>
      <c r="BL159" s="382" t="s">
        <v>1770</v>
      </c>
      <c r="BM159" s="765">
        <v>620054</v>
      </c>
      <c r="BN159" s="764" t="s">
        <v>2505</v>
      </c>
      <c r="BO159" s="764" t="s">
        <v>2506</v>
      </c>
      <c r="BP159" s="344"/>
      <c r="BQ159" s="348"/>
      <c r="BR159" s="346"/>
      <c r="BS159" s="343"/>
      <c r="BT159" s="343"/>
      <c r="BU159" s="346"/>
      <c r="BV159" s="346"/>
    </row>
    <row r="160" spans="54:74">
      <c r="BB160" s="770">
        <v>10924</v>
      </c>
      <c r="BC160" s="382" t="str">
        <f t="shared" si="2"/>
        <v>札幌市北区新川四条</v>
      </c>
      <c r="BD160" s="382" t="s">
        <v>572</v>
      </c>
      <c r="BE160" s="82" t="s">
        <v>690</v>
      </c>
      <c r="BF160" s="382"/>
      <c r="BG160" s="1228"/>
      <c r="BH160" s="82">
        <v>161</v>
      </c>
      <c r="BI160" s="785" t="s">
        <v>1440</v>
      </c>
      <c r="BJ160" s="382" t="s">
        <v>2056</v>
      </c>
      <c r="BK160" s="382" t="s">
        <v>2057</v>
      </c>
      <c r="BL160" s="382" t="s">
        <v>1771</v>
      </c>
      <c r="BM160" s="765">
        <v>620912</v>
      </c>
      <c r="BN160" s="764" t="s">
        <v>2483</v>
      </c>
      <c r="BO160" s="764" t="s">
        <v>2484</v>
      </c>
      <c r="BP160" s="344"/>
      <c r="BQ160" s="348"/>
      <c r="BR160" s="346"/>
      <c r="BS160" s="343"/>
      <c r="BT160" s="343"/>
      <c r="BU160" s="346"/>
      <c r="BV160" s="346"/>
    </row>
    <row r="161" spans="54:74">
      <c r="BB161" s="770">
        <v>10925</v>
      </c>
      <c r="BC161" s="382" t="str">
        <f t="shared" si="2"/>
        <v>札幌市北区新川五条</v>
      </c>
      <c r="BD161" s="382" t="s">
        <v>572</v>
      </c>
      <c r="BE161" s="82" t="s">
        <v>691</v>
      </c>
      <c r="BF161" s="382"/>
      <c r="BG161" s="1228"/>
      <c r="BH161" s="82">
        <v>162</v>
      </c>
      <c r="BI161" s="382" t="s">
        <v>1514</v>
      </c>
      <c r="BJ161" s="382" t="s">
        <v>2058</v>
      </c>
      <c r="BK161" s="382" t="s">
        <v>2059</v>
      </c>
      <c r="BL161" s="382" t="s">
        <v>1772</v>
      </c>
      <c r="BM161" s="765">
        <v>620032</v>
      </c>
      <c r="BN161" s="764" t="s">
        <v>2493</v>
      </c>
      <c r="BO161" s="764" t="s">
        <v>2494</v>
      </c>
      <c r="BP161" s="344"/>
      <c r="BQ161" s="348"/>
      <c r="BR161" s="346"/>
      <c r="BS161" s="343"/>
      <c r="BT161" s="343"/>
      <c r="BU161" s="346"/>
      <c r="BV161" s="346"/>
    </row>
    <row r="162" spans="54:74">
      <c r="BB162" s="770">
        <v>10926</v>
      </c>
      <c r="BC162" s="382" t="str">
        <f t="shared" si="2"/>
        <v>札幌市北区新川六条</v>
      </c>
      <c r="BD162" s="382" t="s">
        <v>572</v>
      </c>
      <c r="BE162" s="82" t="s">
        <v>692</v>
      </c>
      <c r="BF162" s="382"/>
      <c r="BG162" s="1228"/>
      <c r="BH162" s="82">
        <v>163</v>
      </c>
      <c r="BI162" s="382" t="s">
        <v>1515</v>
      </c>
      <c r="BJ162" s="382" t="s">
        <v>2060</v>
      </c>
      <c r="BK162" s="382" t="s">
        <v>2061</v>
      </c>
      <c r="BL162" s="382" t="s">
        <v>1773</v>
      </c>
      <c r="BM162" s="765">
        <v>620033</v>
      </c>
      <c r="BN162" s="764" t="s">
        <v>2519</v>
      </c>
      <c r="BO162" s="764" t="s">
        <v>2520</v>
      </c>
      <c r="BP162" s="344"/>
      <c r="BQ162" s="348"/>
      <c r="BR162" s="346"/>
      <c r="BS162" s="343"/>
      <c r="BT162" s="343"/>
      <c r="BU162" s="346"/>
      <c r="BV162" s="346"/>
    </row>
    <row r="163" spans="54:74">
      <c r="BB163" s="770">
        <v>10927</v>
      </c>
      <c r="BC163" s="382" t="str">
        <f t="shared" si="2"/>
        <v>札幌市北区新川七条</v>
      </c>
      <c r="BD163" s="382" t="s">
        <v>572</v>
      </c>
      <c r="BE163" s="82" t="s">
        <v>693</v>
      </c>
      <c r="BF163" s="382"/>
      <c r="BG163" s="1228"/>
      <c r="BH163" s="82">
        <v>164</v>
      </c>
      <c r="BI163" s="382" t="s">
        <v>1516</v>
      </c>
      <c r="BJ163" s="382" t="s">
        <v>2062</v>
      </c>
      <c r="BK163" s="382" t="s">
        <v>2063</v>
      </c>
      <c r="BL163" s="382" t="s">
        <v>1774</v>
      </c>
      <c r="BM163" s="765">
        <v>620034</v>
      </c>
      <c r="BN163" s="764" t="s">
        <v>2513</v>
      </c>
      <c r="BO163" s="764" t="s">
        <v>2514</v>
      </c>
      <c r="BP163" s="344"/>
      <c r="BQ163" s="348"/>
      <c r="BR163" s="346"/>
      <c r="BS163" s="343"/>
      <c r="BT163" s="343"/>
      <c r="BU163" s="346"/>
      <c r="BV163" s="346"/>
    </row>
    <row r="164" spans="54:74">
      <c r="BB164" s="770">
        <v>10928</v>
      </c>
      <c r="BC164" s="382" t="str">
        <f t="shared" si="2"/>
        <v>札幌市北区新川八条</v>
      </c>
      <c r="BD164" s="382" t="s">
        <v>572</v>
      </c>
      <c r="BE164" s="82" t="s">
        <v>694</v>
      </c>
      <c r="BF164" s="382"/>
      <c r="BG164" s="1228"/>
      <c r="BH164" s="82">
        <v>165</v>
      </c>
      <c r="BI164" s="785" t="s">
        <v>1511</v>
      </c>
      <c r="BJ164" s="382" t="s">
        <v>2064</v>
      </c>
      <c r="BK164" s="382" t="s">
        <v>2065</v>
      </c>
      <c r="BL164" s="382" t="s">
        <v>1775</v>
      </c>
      <c r="BM164" s="765">
        <v>620922</v>
      </c>
      <c r="BN164" s="764" t="s">
        <v>2495</v>
      </c>
      <c r="BO164" s="764" t="s">
        <v>2496</v>
      </c>
      <c r="BP164" s="344"/>
      <c r="BQ164" s="348"/>
      <c r="BR164" s="346"/>
      <c r="BS164" s="343"/>
      <c r="BT164" s="343"/>
      <c r="BU164" s="346"/>
      <c r="BV164" s="346"/>
    </row>
    <row r="165" spans="54:74">
      <c r="BB165" s="770">
        <v>10931</v>
      </c>
      <c r="BC165" s="382" t="str">
        <f t="shared" si="2"/>
        <v>札幌市北区新川西一条</v>
      </c>
      <c r="BD165" s="382" t="s">
        <v>572</v>
      </c>
      <c r="BE165" s="82" t="s">
        <v>695</v>
      </c>
      <c r="BF165" s="382"/>
      <c r="BG165" s="1228"/>
      <c r="BH165" s="82">
        <v>166</v>
      </c>
      <c r="BI165" s="382" t="s">
        <v>1504</v>
      </c>
      <c r="BJ165" s="382" t="s">
        <v>2066</v>
      </c>
      <c r="BK165" s="382" t="s">
        <v>2067</v>
      </c>
      <c r="BL165" s="382" t="s">
        <v>1776</v>
      </c>
      <c r="BM165" s="765">
        <v>620001</v>
      </c>
      <c r="BN165" s="764" t="s">
        <v>2491</v>
      </c>
      <c r="BO165" s="764" t="s">
        <v>2492</v>
      </c>
      <c r="BP165" s="344"/>
      <c r="BQ165" s="348"/>
      <c r="BR165" s="346"/>
      <c r="BS165" s="343"/>
      <c r="BT165" s="343"/>
      <c r="BU165" s="346"/>
      <c r="BV165" s="346"/>
    </row>
    <row r="166" spans="54:74">
      <c r="BB166" s="770">
        <v>10932</v>
      </c>
      <c r="BC166" s="382" t="str">
        <f t="shared" si="2"/>
        <v>札幌市北区新川西二条</v>
      </c>
      <c r="BD166" s="382" t="s">
        <v>572</v>
      </c>
      <c r="BE166" s="82" t="s">
        <v>696</v>
      </c>
      <c r="BF166" s="382"/>
      <c r="BG166" s="1228"/>
      <c r="BH166" s="82">
        <v>167</v>
      </c>
      <c r="BI166" s="382" t="s">
        <v>1568</v>
      </c>
      <c r="BJ166" s="382" t="s">
        <v>2068</v>
      </c>
      <c r="BK166" s="382" t="s">
        <v>1955</v>
      </c>
      <c r="BL166" s="382" t="s">
        <v>1777</v>
      </c>
      <c r="BM166" s="765">
        <v>620005</v>
      </c>
      <c r="BN166" s="764" t="s">
        <v>2509</v>
      </c>
      <c r="BO166" s="764" t="s">
        <v>2510</v>
      </c>
      <c r="BP166" s="344"/>
      <c r="BQ166" s="348"/>
      <c r="BR166" s="346"/>
      <c r="BS166" s="343"/>
      <c r="BT166" s="343"/>
      <c r="BU166" s="346"/>
      <c r="BV166" s="346"/>
    </row>
    <row r="167" spans="54:74">
      <c r="BB167" s="770">
        <v>10933</v>
      </c>
      <c r="BC167" s="382" t="str">
        <f t="shared" si="2"/>
        <v>札幌市北区新川西三条</v>
      </c>
      <c r="BD167" s="382" t="s">
        <v>572</v>
      </c>
      <c r="BE167" s="82" t="s">
        <v>697</v>
      </c>
      <c r="BF167" s="382"/>
      <c r="BG167" s="1228"/>
      <c r="BH167" s="82">
        <v>168</v>
      </c>
      <c r="BI167" s="382" t="s">
        <v>1544</v>
      </c>
      <c r="BJ167" s="382" t="s">
        <v>2069</v>
      </c>
      <c r="BK167" s="382" t="s">
        <v>2070</v>
      </c>
      <c r="BL167" s="382" t="s">
        <v>1778</v>
      </c>
      <c r="BM167" s="765">
        <v>620043</v>
      </c>
      <c r="BN167" s="764" t="s">
        <v>2511</v>
      </c>
      <c r="BO167" s="764" t="s">
        <v>2512</v>
      </c>
      <c r="BP167" s="344"/>
      <c r="BQ167" s="348"/>
      <c r="BR167" s="346"/>
      <c r="BS167" s="343"/>
      <c r="BT167" s="343"/>
      <c r="BU167" s="346"/>
      <c r="BV167" s="346"/>
    </row>
    <row r="168" spans="54:74">
      <c r="BB168" s="770">
        <v>10934</v>
      </c>
      <c r="BC168" s="382" t="str">
        <f t="shared" si="2"/>
        <v>札幌市北区新川西四条</v>
      </c>
      <c r="BD168" s="382" t="s">
        <v>572</v>
      </c>
      <c r="BE168" s="82" t="s">
        <v>698</v>
      </c>
      <c r="BF168" s="382"/>
      <c r="BG168" s="1228"/>
      <c r="BH168" s="82">
        <v>169</v>
      </c>
      <c r="BI168" s="382" t="s">
        <v>1541</v>
      </c>
      <c r="BJ168" s="382" t="s">
        <v>2071</v>
      </c>
      <c r="BK168" s="382" t="s">
        <v>2072</v>
      </c>
      <c r="BL168" s="382" t="s">
        <v>1779</v>
      </c>
      <c r="BM168" s="765">
        <v>620931</v>
      </c>
      <c r="BN168" s="764" t="s">
        <v>2503</v>
      </c>
      <c r="BO168" s="764" t="s">
        <v>2504</v>
      </c>
      <c r="BP168" s="344"/>
      <c r="BQ168" s="348"/>
      <c r="BR168" s="346"/>
      <c r="BS168" s="343"/>
      <c r="BT168" s="343"/>
      <c r="BU168" s="346"/>
      <c r="BV168" s="346"/>
    </row>
    <row r="169" spans="54:74">
      <c r="BB169" s="770">
        <v>10935</v>
      </c>
      <c r="BC169" s="382" t="str">
        <f t="shared" si="2"/>
        <v>札幌市北区新川西五条</v>
      </c>
      <c r="BD169" s="382" t="s">
        <v>572</v>
      </c>
      <c r="BE169" s="82" t="s">
        <v>699</v>
      </c>
      <c r="BF169" s="382"/>
      <c r="BG169" s="1228"/>
      <c r="BH169" s="82">
        <v>170</v>
      </c>
      <c r="BI169" s="382" t="s">
        <v>1539</v>
      </c>
      <c r="BJ169" s="382" t="s">
        <v>2073</v>
      </c>
      <c r="BK169" s="382" t="s">
        <v>2074</v>
      </c>
      <c r="BL169" s="382" t="s">
        <v>1780</v>
      </c>
      <c r="BM169" s="765">
        <v>620932</v>
      </c>
      <c r="BN169" s="764" t="s">
        <v>2487</v>
      </c>
      <c r="BO169" s="764" t="s">
        <v>2488</v>
      </c>
      <c r="BP169" s="344"/>
      <c r="BQ169" s="348"/>
      <c r="BR169" s="346"/>
      <c r="BS169" s="343"/>
      <c r="BT169" s="343"/>
      <c r="BU169" s="346"/>
      <c r="BV169" s="346"/>
    </row>
    <row r="170" spans="54:74">
      <c r="BB170" s="770">
        <v>10901</v>
      </c>
      <c r="BC170" s="382" t="str">
        <f t="shared" si="2"/>
        <v>札幌市北区新琴似一条</v>
      </c>
      <c r="BD170" s="382" t="s">
        <v>572</v>
      </c>
      <c r="BE170" s="82" t="s">
        <v>700</v>
      </c>
      <c r="BF170" s="382"/>
      <c r="BG170" s="1228"/>
      <c r="BH170" s="82">
        <v>171</v>
      </c>
      <c r="BI170" s="785" t="s">
        <v>1533</v>
      </c>
      <c r="BJ170" s="382" t="s">
        <v>2075</v>
      </c>
      <c r="BK170" s="382" t="s">
        <v>2076</v>
      </c>
      <c r="BL170" s="382" t="s">
        <v>1781</v>
      </c>
      <c r="BM170" s="765">
        <v>620934</v>
      </c>
      <c r="BN170" s="764" t="s">
        <v>2501</v>
      </c>
      <c r="BO170" s="764" t="s">
        <v>2502</v>
      </c>
      <c r="BP170" s="344"/>
      <c r="BQ170" s="348"/>
      <c r="BR170" s="346"/>
      <c r="BS170" s="343"/>
      <c r="BT170" s="343"/>
      <c r="BU170" s="346"/>
      <c r="BV170" s="346"/>
    </row>
    <row r="171" spans="54:74">
      <c r="BB171" s="770">
        <v>10902</v>
      </c>
      <c r="BC171" s="382" t="str">
        <f t="shared" si="2"/>
        <v>札幌市北区新琴似二条</v>
      </c>
      <c r="BD171" s="382" t="s">
        <v>572</v>
      </c>
      <c r="BE171" s="82" t="s">
        <v>701</v>
      </c>
      <c r="BF171" s="382"/>
      <c r="BG171" s="1228"/>
      <c r="BH171" s="82">
        <v>172</v>
      </c>
      <c r="BI171" s="382" t="s">
        <v>1540</v>
      </c>
      <c r="BJ171" s="382" t="s">
        <v>2077</v>
      </c>
      <c r="BK171" s="382" t="s">
        <v>2078</v>
      </c>
      <c r="BL171" s="382" t="s">
        <v>1782</v>
      </c>
      <c r="BM171" s="765">
        <v>620935</v>
      </c>
      <c r="BN171" s="764" t="s">
        <v>2515</v>
      </c>
      <c r="BO171" s="764" t="s">
        <v>2516</v>
      </c>
      <c r="BP171" s="344"/>
      <c r="BQ171" s="348"/>
      <c r="BR171" s="346"/>
      <c r="BS171" s="343"/>
      <c r="BT171" s="343"/>
      <c r="BU171" s="346"/>
      <c r="BV171" s="346"/>
    </row>
    <row r="172" spans="54:74">
      <c r="BB172" s="770">
        <v>10903</v>
      </c>
      <c r="BC172" s="382" t="str">
        <f t="shared" si="2"/>
        <v>札幌市北区新琴似三条</v>
      </c>
      <c r="BD172" s="382" t="s">
        <v>572</v>
      </c>
      <c r="BE172" s="82" t="s">
        <v>702</v>
      </c>
      <c r="BF172" s="382"/>
      <c r="BG172" s="1228"/>
      <c r="BH172" s="82">
        <v>173</v>
      </c>
      <c r="BI172" s="382" t="s">
        <v>1567</v>
      </c>
      <c r="BJ172" s="382" t="s">
        <v>2077</v>
      </c>
      <c r="BK172" s="382" t="s">
        <v>2079</v>
      </c>
      <c r="BL172" s="382" t="s">
        <v>1783</v>
      </c>
      <c r="BM172" s="765">
        <v>620935</v>
      </c>
      <c r="BN172" s="764" t="s">
        <v>2489</v>
      </c>
      <c r="BO172" s="764" t="s">
        <v>2490</v>
      </c>
      <c r="BP172" s="344"/>
      <c r="BQ172" s="348"/>
      <c r="BR172" s="346"/>
      <c r="BS172" s="343"/>
      <c r="BT172" s="343"/>
      <c r="BU172" s="346"/>
      <c r="BV172" s="346"/>
    </row>
    <row r="173" spans="54:74">
      <c r="BB173" s="770">
        <v>10904</v>
      </c>
      <c r="BC173" s="382" t="str">
        <f t="shared" si="2"/>
        <v>札幌市北区新琴似四条</v>
      </c>
      <c r="BD173" s="382" t="s">
        <v>572</v>
      </c>
      <c r="BE173" s="82" t="s">
        <v>703</v>
      </c>
      <c r="BF173" s="382"/>
      <c r="BG173" s="1228"/>
      <c r="BH173" s="82">
        <v>174</v>
      </c>
      <c r="BI173" s="785" t="s">
        <v>1500</v>
      </c>
      <c r="BJ173" s="382" t="s">
        <v>2080</v>
      </c>
      <c r="BK173" s="382" t="s">
        <v>2081</v>
      </c>
      <c r="BL173" s="382" t="s">
        <v>1784</v>
      </c>
      <c r="BM173" s="765">
        <v>620901</v>
      </c>
      <c r="BN173" s="764" t="s">
        <v>2481</v>
      </c>
      <c r="BO173" s="764" t="s">
        <v>2482</v>
      </c>
      <c r="BP173" s="344"/>
      <c r="BQ173" s="348"/>
      <c r="BR173" s="346"/>
      <c r="BS173" s="343"/>
      <c r="BT173" s="343"/>
      <c r="BU173" s="346"/>
      <c r="BV173" s="346"/>
    </row>
    <row r="174" spans="54:74" ht="14.25" thickBot="1">
      <c r="BB174" s="770">
        <v>10905</v>
      </c>
      <c r="BC174" s="382" t="str">
        <f t="shared" si="2"/>
        <v>札幌市北区新琴似五条</v>
      </c>
      <c r="BD174" s="382" t="s">
        <v>572</v>
      </c>
      <c r="BE174" s="82" t="s">
        <v>704</v>
      </c>
      <c r="BF174" s="382"/>
      <c r="BG174" s="1228"/>
      <c r="BH174" s="82">
        <v>175</v>
      </c>
      <c r="BI174" s="785" t="s">
        <v>1505</v>
      </c>
      <c r="BJ174" s="382" t="s">
        <v>2082</v>
      </c>
      <c r="BK174" s="382" t="s">
        <v>1959</v>
      </c>
      <c r="BL174" s="382" t="s">
        <v>1785</v>
      </c>
      <c r="BM174" s="765">
        <v>620905</v>
      </c>
      <c r="BN174" s="764" t="s">
        <v>2521</v>
      </c>
      <c r="BO174" s="764" t="s">
        <v>2480</v>
      </c>
      <c r="BP174" s="344"/>
      <c r="BQ174" s="348"/>
      <c r="BR174" s="346"/>
      <c r="BS174" s="343"/>
      <c r="BT174" s="343"/>
      <c r="BU174" s="346"/>
      <c r="BV174" s="346"/>
    </row>
    <row r="175" spans="54:74" ht="14.25" thickBot="1">
      <c r="BB175" s="770">
        <v>10906</v>
      </c>
      <c r="BC175" s="382" t="str">
        <f t="shared" si="2"/>
        <v>札幌市北区新琴似六条</v>
      </c>
      <c r="BD175" s="382" t="s">
        <v>572</v>
      </c>
      <c r="BE175" s="82" t="s">
        <v>705</v>
      </c>
      <c r="BF175" s="382"/>
      <c r="BG175" s="1228" t="s">
        <v>1797</v>
      </c>
      <c r="BH175" s="82">
        <v>176</v>
      </c>
      <c r="BI175" s="382" t="s">
        <v>1494</v>
      </c>
      <c r="BJ175" s="781" t="s">
        <v>2044</v>
      </c>
      <c r="BK175" s="781" t="s">
        <v>2045</v>
      </c>
      <c r="BL175" s="382" t="s">
        <v>1798</v>
      </c>
      <c r="BM175" s="788">
        <v>28072</v>
      </c>
      <c r="BN175" s="764" t="s">
        <v>2733</v>
      </c>
      <c r="BO175" s="764" t="s">
        <v>2734</v>
      </c>
      <c r="BP175" s="344"/>
      <c r="BQ175" s="767" t="s">
        <v>2618</v>
      </c>
      <c r="BR175" s="345" t="s">
        <v>2619</v>
      </c>
      <c r="BU175" s="345" t="s">
        <v>2622</v>
      </c>
      <c r="BV175" s="345" t="s">
        <v>2623</v>
      </c>
    </row>
    <row r="176" spans="54:74" ht="14.25" thickBot="1">
      <c r="BB176" s="770">
        <v>10907</v>
      </c>
      <c r="BC176" s="382" t="str">
        <f t="shared" si="2"/>
        <v>札幌市北区新琴似七条</v>
      </c>
      <c r="BD176" s="382" t="s">
        <v>572</v>
      </c>
      <c r="BE176" s="82" t="s">
        <v>706</v>
      </c>
      <c r="BF176" s="382"/>
      <c r="BG176" s="1228"/>
      <c r="BH176" s="82">
        <v>177</v>
      </c>
      <c r="BI176" s="382" t="s">
        <v>1439</v>
      </c>
      <c r="BJ176" s="382" t="s">
        <v>2042</v>
      </c>
      <c r="BK176" s="382" t="s">
        <v>2043</v>
      </c>
      <c r="BL176" s="382" t="s">
        <v>1799</v>
      </c>
      <c r="BM176" s="788">
        <v>28072</v>
      </c>
      <c r="BN176" s="764" t="s">
        <v>2763</v>
      </c>
      <c r="BO176" s="764" t="s">
        <v>2764</v>
      </c>
      <c r="BP176" s="344"/>
      <c r="BQ176" s="767" t="s">
        <v>2624</v>
      </c>
      <c r="BR176" s="345" t="s">
        <v>2625</v>
      </c>
      <c r="BU176" s="345" t="s">
        <v>2628</v>
      </c>
      <c r="BV176" s="345" t="s">
        <v>2629</v>
      </c>
    </row>
    <row r="177" spans="54:74" ht="27.75" thickBot="1">
      <c r="BB177" s="770">
        <v>10908</v>
      </c>
      <c r="BC177" s="382" t="str">
        <f t="shared" si="2"/>
        <v>札幌市北区新琴似八条</v>
      </c>
      <c r="BD177" s="382" t="s">
        <v>572</v>
      </c>
      <c r="BE177" s="82" t="s">
        <v>707</v>
      </c>
      <c r="BF177" s="382"/>
      <c r="BG177" s="1228"/>
      <c r="BH177" s="82">
        <v>178</v>
      </c>
      <c r="BI177" s="382" t="s">
        <v>1467</v>
      </c>
      <c r="BJ177" s="382" t="s">
        <v>2040</v>
      </c>
      <c r="BK177" s="382" t="s">
        <v>2041</v>
      </c>
      <c r="BL177" s="382" t="s">
        <v>1800</v>
      </c>
      <c r="BM177" s="788">
        <v>28073</v>
      </c>
      <c r="BN177" s="764" t="s">
        <v>2667</v>
      </c>
      <c r="BO177" s="764" t="s">
        <v>2668</v>
      </c>
      <c r="BP177" s="344"/>
      <c r="BQ177" s="767" t="s">
        <v>2630</v>
      </c>
      <c r="BR177" s="345" t="s">
        <v>2631</v>
      </c>
      <c r="BU177" s="345" t="s">
        <v>2634</v>
      </c>
      <c r="BV177" s="345" t="s">
        <v>2635</v>
      </c>
    </row>
    <row r="178" spans="54:74" ht="14.25" thickBot="1">
      <c r="BB178" s="770">
        <v>10909</v>
      </c>
      <c r="BC178" s="382" t="str">
        <f t="shared" si="2"/>
        <v>札幌市北区新琴似九条</v>
      </c>
      <c r="BD178" s="382" t="s">
        <v>572</v>
      </c>
      <c r="BE178" s="82" t="s">
        <v>708</v>
      </c>
      <c r="BF178" s="382"/>
      <c r="BG178" s="1228"/>
      <c r="BH178" s="82">
        <v>179</v>
      </c>
      <c r="BI178" s="382" t="s">
        <v>1786</v>
      </c>
      <c r="BJ178" s="793" t="s">
        <v>2038</v>
      </c>
      <c r="BK178" s="793" t="s">
        <v>2039</v>
      </c>
      <c r="BL178" s="382" t="s">
        <v>1801</v>
      </c>
      <c r="BM178" s="788">
        <v>28073</v>
      </c>
      <c r="BN178" s="764" t="s">
        <v>2775</v>
      </c>
      <c r="BO178" s="764" t="s">
        <v>2776</v>
      </c>
      <c r="BP178" s="344"/>
      <c r="BQ178" s="767" t="s">
        <v>2636</v>
      </c>
      <c r="BR178" s="345" t="s">
        <v>2637</v>
      </c>
      <c r="BU178" s="345" t="s">
        <v>2640</v>
      </c>
      <c r="BV178" s="345" t="s">
        <v>2641</v>
      </c>
    </row>
    <row r="179" spans="54:74" ht="14.25" thickBot="1">
      <c r="BB179" s="770">
        <v>10910</v>
      </c>
      <c r="BC179" s="382" t="str">
        <f t="shared" si="2"/>
        <v>札幌市北区新琴似十条</v>
      </c>
      <c r="BD179" s="382" t="s">
        <v>572</v>
      </c>
      <c r="BE179" s="82" t="s">
        <v>709</v>
      </c>
      <c r="BF179" s="382"/>
      <c r="BG179" s="1228"/>
      <c r="BH179" s="82">
        <v>180</v>
      </c>
      <c r="BI179" s="382" t="s">
        <v>1589</v>
      </c>
      <c r="BJ179" s="382" t="s">
        <v>2036</v>
      </c>
      <c r="BK179" s="382" t="s">
        <v>2037</v>
      </c>
      <c r="BL179" s="382" t="s">
        <v>1802</v>
      </c>
      <c r="BM179" s="788">
        <v>28075</v>
      </c>
      <c r="BN179" s="766" t="s">
        <v>2796</v>
      </c>
      <c r="BO179" s="382" t="s">
        <v>2797</v>
      </c>
      <c r="BP179" s="344"/>
      <c r="BQ179" s="767" t="s">
        <v>2642</v>
      </c>
      <c r="BR179" s="345" t="s">
        <v>2643</v>
      </c>
      <c r="BU179" s="345" t="s">
        <v>2646</v>
      </c>
      <c r="BV179" s="345" t="s">
        <v>2647</v>
      </c>
    </row>
    <row r="180" spans="54:74" ht="27.75" thickBot="1">
      <c r="BB180" s="770">
        <v>10911</v>
      </c>
      <c r="BC180" s="382" t="str">
        <f t="shared" si="2"/>
        <v>札幌市北区新琴似十一条</v>
      </c>
      <c r="BD180" s="382" t="s">
        <v>572</v>
      </c>
      <c r="BE180" s="82" t="s">
        <v>710</v>
      </c>
      <c r="BF180" s="382"/>
      <c r="BG180" s="1228"/>
      <c r="BH180" s="82">
        <v>181</v>
      </c>
      <c r="BI180" s="382" t="s">
        <v>1492</v>
      </c>
      <c r="BJ180" s="382" t="s">
        <v>2034</v>
      </c>
      <c r="BK180" s="382" t="s">
        <v>2035</v>
      </c>
      <c r="BL180" s="382" t="s">
        <v>1803</v>
      </c>
      <c r="BM180" s="788">
        <v>28021</v>
      </c>
      <c r="BN180" s="764" t="s">
        <v>2709</v>
      </c>
      <c r="BO180" s="764" t="s">
        <v>2710</v>
      </c>
      <c r="BP180" s="344"/>
      <c r="BQ180" s="767" t="s">
        <v>686</v>
      </c>
      <c r="BR180" s="345" t="s">
        <v>2648</v>
      </c>
      <c r="BU180" s="345" t="s">
        <v>2651</v>
      </c>
      <c r="BV180" s="345" t="s">
        <v>2652</v>
      </c>
    </row>
    <row r="181" spans="54:74" ht="14.25" thickBot="1">
      <c r="BB181" s="770">
        <v>10912</v>
      </c>
      <c r="BC181" s="382" t="str">
        <f t="shared" si="2"/>
        <v>札幌市北区新琴似十二条</v>
      </c>
      <c r="BD181" s="382" t="s">
        <v>572</v>
      </c>
      <c r="BE181" s="82" t="s">
        <v>711</v>
      </c>
      <c r="BF181" s="382"/>
      <c r="BG181" s="1228"/>
      <c r="BH181" s="82">
        <v>182</v>
      </c>
      <c r="BI181" s="382" t="s">
        <v>1479</v>
      </c>
      <c r="BJ181" s="382" t="s">
        <v>2032</v>
      </c>
      <c r="BK181" s="382" t="s">
        <v>2033</v>
      </c>
      <c r="BL181" s="382" t="s">
        <v>1804</v>
      </c>
      <c r="BM181" s="788">
        <v>28024</v>
      </c>
      <c r="BN181" s="764" t="s">
        <v>2655</v>
      </c>
      <c r="BO181" s="764" t="s">
        <v>2656</v>
      </c>
      <c r="BP181" s="344"/>
      <c r="BQ181" s="767" t="s">
        <v>2653</v>
      </c>
      <c r="BR181" s="345" t="s">
        <v>2654</v>
      </c>
      <c r="BU181" s="345" t="s">
        <v>2657</v>
      </c>
      <c r="BV181" s="345" t="s">
        <v>2658</v>
      </c>
    </row>
    <row r="182" spans="54:74" ht="14.25" thickBot="1">
      <c r="BB182" s="770">
        <v>10915</v>
      </c>
      <c r="BC182" s="382" t="str">
        <f t="shared" si="2"/>
        <v>札幌市北区新琴似町</v>
      </c>
      <c r="BD182" s="382" t="s">
        <v>572</v>
      </c>
      <c r="BE182" s="82" t="s">
        <v>712</v>
      </c>
      <c r="BF182" s="382"/>
      <c r="BG182" s="1228"/>
      <c r="BH182" s="82">
        <v>183</v>
      </c>
      <c r="BI182" s="382" t="s">
        <v>1787</v>
      </c>
      <c r="BJ182" s="382" t="s">
        <v>2030</v>
      </c>
      <c r="BK182" s="382" t="s">
        <v>2031</v>
      </c>
      <c r="BL182" s="382" t="s">
        <v>1805</v>
      </c>
      <c r="BM182" s="788">
        <v>28025</v>
      </c>
      <c r="BN182" s="764" t="s">
        <v>2721</v>
      </c>
      <c r="BO182" s="764" t="s">
        <v>2722</v>
      </c>
      <c r="BP182" s="344"/>
      <c r="BQ182" s="767" t="s">
        <v>2659</v>
      </c>
      <c r="BR182" s="345" t="s">
        <v>2660</v>
      </c>
      <c r="BU182" s="345" t="s">
        <v>2663</v>
      </c>
      <c r="BV182" s="345" t="s">
        <v>2664</v>
      </c>
    </row>
    <row r="183" spans="54:74" ht="14.25" thickBot="1">
      <c r="BB183" s="770">
        <v>28001</v>
      </c>
      <c r="BC183" s="382" t="str">
        <f t="shared" si="2"/>
        <v>札幌市北区太平一条</v>
      </c>
      <c r="BD183" s="382" t="s">
        <v>572</v>
      </c>
      <c r="BE183" s="82" t="s">
        <v>713</v>
      </c>
      <c r="BF183" s="382"/>
      <c r="BG183" s="1228"/>
      <c r="BH183" s="82">
        <v>184</v>
      </c>
      <c r="BI183" s="382" t="s">
        <v>1788</v>
      </c>
      <c r="BJ183" s="382" t="s">
        <v>2028</v>
      </c>
      <c r="BK183" s="382" t="s">
        <v>2029</v>
      </c>
      <c r="BL183" s="382" t="s">
        <v>1806</v>
      </c>
      <c r="BM183" s="788">
        <v>10910</v>
      </c>
      <c r="BN183" s="764" t="s">
        <v>2751</v>
      </c>
      <c r="BO183" s="764" t="s">
        <v>2752</v>
      </c>
      <c r="BP183" s="344"/>
      <c r="BQ183" s="767" t="s">
        <v>2665</v>
      </c>
      <c r="BR183" s="345" t="s">
        <v>2666</v>
      </c>
      <c r="BU183" s="345" t="s">
        <v>2669</v>
      </c>
      <c r="BV183" s="345" t="s">
        <v>2670</v>
      </c>
    </row>
    <row r="184" spans="54:74" ht="14.25" thickBot="1">
      <c r="BB184" s="770">
        <v>28002</v>
      </c>
      <c r="BC184" s="382" t="str">
        <f t="shared" si="2"/>
        <v>札幌市北区太平二条</v>
      </c>
      <c r="BD184" s="382" t="s">
        <v>572</v>
      </c>
      <c r="BE184" s="82" t="s">
        <v>714</v>
      </c>
      <c r="BF184" s="382"/>
      <c r="BG184" s="1228"/>
      <c r="BH184" s="82">
        <v>185</v>
      </c>
      <c r="BI184" s="382" t="s">
        <v>1484</v>
      </c>
      <c r="BJ184" s="382" t="s">
        <v>2026</v>
      </c>
      <c r="BK184" s="382" t="s">
        <v>2027</v>
      </c>
      <c r="BL184" s="382" t="s">
        <v>1807</v>
      </c>
      <c r="BM184" s="788">
        <v>10911</v>
      </c>
      <c r="BN184" s="764" t="s">
        <v>2703</v>
      </c>
      <c r="BO184" s="764" t="s">
        <v>2704</v>
      </c>
      <c r="BP184" s="344"/>
      <c r="BQ184" s="767" t="s">
        <v>2671</v>
      </c>
      <c r="BR184" s="345" t="s">
        <v>2672</v>
      </c>
      <c r="BU184" s="345" t="s">
        <v>2675</v>
      </c>
      <c r="BV184" s="345" t="s">
        <v>2676</v>
      </c>
    </row>
    <row r="185" spans="54:74" ht="27.75" thickBot="1">
      <c r="BB185" s="770">
        <v>28003</v>
      </c>
      <c r="BC185" s="382" t="str">
        <f t="shared" si="2"/>
        <v>札幌市北区太平三条</v>
      </c>
      <c r="BD185" s="382" t="s">
        <v>572</v>
      </c>
      <c r="BE185" s="82" t="s">
        <v>715</v>
      </c>
      <c r="BF185" s="382"/>
      <c r="BG185" s="1228"/>
      <c r="BH185" s="82">
        <v>186</v>
      </c>
      <c r="BI185" s="382" t="s">
        <v>1483</v>
      </c>
      <c r="BJ185" s="382" t="s">
        <v>2024</v>
      </c>
      <c r="BK185" s="382" t="s">
        <v>2025</v>
      </c>
      <c r="BL185" s="382" t="s">
        <v>1808</v>
      </c>
      <c r="BM185" s="788">
        <v>10911</v>
      </c>
      <c r="BN185" s="764" t="s">
        <v>2691</v>
      </c>
      <c r="BO185" s="764" t="s">
        <v>2692</v>
      </c>
      <c r="BP185" s="344"/>
      <c r="BQ185" s="767" t="s">
        <v>2677</v>
      </c>
      <c r="BR185" s="345" t="s">
        <v>2678</v>
      </c>
      <c r="BU185" s="345" t="s">
        <v>2681</v>
      </c>
      <c r="BV185" s="345" t="s">
        <v>2682</v>
      </c>
    </row>
    <row r="186" spans="54:74" ht="14.25" thickBot="1">
      <c r="BB186" s="770">
        <v>28004</v>
      </c>
      <c r="BC186" s="382" t="str">
        <f t="shared" si="2"/>
        <v>札幌市北区太平四条</v>
      </c>
      <c r="BD186" s="382" t="s">
        <v>572</v>
      </c>
      <c r="BE186" s="82" t="s">
        <v>716</v>
      </c>
      <c r="BF186" s="382"/>
      <c r="BG186" s="1228"/>
      <c r="BH186" s="82">
        <v>187</v>
      </c>
      <c r="BI186" s="382" t="s">
        <v>1789</v>
      </c>
      <c r="BJ186" s="382" t="s">
        <v>2021</v>
      </c>
      <c r="BK186" s="382" t="s">
        <v>2023</v>
      </c>
      <c r="BL186" s="382" t="s">
        <v>1809</v>
      </c>
      <c r="BM186" s="788">
        <v>10901</v>
      </c>
      <c r="BN186" s="764" t="s">
        <v>2727</v>
      </c>
      <c r="BO186" s="764" t="s">
        <v>2728</v>
      </c>
      <c r="BP186" s="344"/>
      <c r="BQ186" s="767" t="s">
        <v>2683</v>
      </c>
      <c r="BR186" s="345" t="s">
        <v>2684</v>
      </c>
      <c r="BU186" s="345" t="s">
        <v>2687</v>
      </c>
      <c r="BV186" s="345" t="s">
        <v>2688</v>
      </c>
    </row>
    <row r="187" spans="54:74" ht="14.25" thickBot="1">
      <c r="BB187" s="770">
        <v>28005</v>
      </c>
      <c r="BC187" s="382" t="str">
        <f t="shared" si="2"/>
        <v>札幌市北区太平五条</v>
      </c>
      <c r="BD187" s="382" t="s">
        <v>572</v>
      </c>
      <c r="BE187" s="82" t="s">
        <v>717</v>
      </c>
      <c r="BF187" s="382"/>
      <c r="BG187" s="1228"/>
      <c r="BH187" s="82">
        <v>188</v>
      </c>
      <c r="BI187" s="382" t="s">
        <v>1790</v>
      </c>
      <c r="BJ187" s="382" t="s">
        <v>2021</v>
      </c>
      <c r="BK187" s="382" t="s">
        <v>2022</v>
      </c>
      <c r="BL187" s="382" t="s">
        <v>1810</v>
      </c>
      <c r="BM187" s="788">
        <v>10901</v>
      </c>
      <c r="BN187" s="764" t="s">
        <v>2715</v>
      </c>
      <c r="BO187" s="764" t="s">
        <v>2716</v>
      </c>
      <c r="BP187" s="344"/>
      <c r="BQ187" s="767" t="s">
        <v>2689</v>
      </c>
      <c r="BR187" s="345" t="s">
        <v>2690</v>
      </c>
      <c r="BU187" s="345" t="s">
        <v>2693</v>
      </c>
      <c r="BV187" s="345" t="s">
        <v>2694</v>
      </c>
    </row>
    <row r="188" spans="54:74" ht="14.25" thickBot="1">
      <c r="BB188" s="770">
        <v>28006</v>
      </c>
      <c r="BC188" s="382" t="str">
        <f t="shared" si="2"/>
        <v>札幌市北区太平六条</v>
      </c>
      <c r="BD188" s="382" t="s">
        <v>572</v>
      </c>
      <c r="BE188" s="82" t="s">
        <v>718</v>
      </c>
      <c r="BF188" s="382"/>
      <c r="BG188" s="1228"/>
      <c r="BH188" s="82">
        <v>189</v>
      </c>
      <c r="BI188" s="382" t="s">
        <v>1791</v>
      </c>
      <c r="BJ188" s="382" t="s">
        <v>2019</v>
      </c>
      <c r="BK188" s="382" t="s">
        <v>2020</v>
      </c>
      <c r="BL188" s="382" t="s">
        <v>1811</v>
      </c>
      <c r="BM188" s="788">
        <v>10905</v>
      </c>
      <c r="BN188" s="764" t="s">
        <v>2679</v>
      </c>
      <c r="BO188" s="764" t="s">
        <v>2680</v>
      </c>
      <c r="BP188" s="344"/>
      <c r="BQ188" s="767" t="s">
        <v>2695</v>
      </c>
      <c r="BR188" s="345" t="s">
        <v>2696</v>
      </c>
      <c r="BU188" s="345" t="s">
        <v>2699</v>
      </c>
      <c r="BV188" s="345" t="s">
        <v>2700</v>
      </c>
    </row>
    <row r="189" spans="54:74" ht="14.25" thickBot="1">
      <c r="BB189" s="770">
        <v>28007</v>
      </c>
      <c r="BC189" s="382" t="str">
        <f t="shared" si="2"/>
        <v>札幌市北区太平七条</v>
      </c>
      <c r="BD189" s="382" t="s">
        <v>572</v>
      </c>
      <c r="BE189" s="82" t="s">
        <v>719</v>
      </c>
      <c r="BF189" s="382"/>
      <c r="BG189" s="1228"/>
      <c r="BH189" s="82">
        <v>190</v>
      </c>
      <c r="BI189" s="382" t="s">
        <v>1792</v>
      </c>
      <c r="BJ189" s="382" t="s">
        <v>2017</v>
      </c>
      <c r="BK189" s="382" t="s">
        <v>2018</v>
      </c>
      <c r="BL189" s="382" t="s">
        <v>1812</v>
      </c>
      <c r="BM189" s="788">
        <v>10907</v>
      </c>
      <c r="BN189" s="764" t="s">
        <v>2638</v>
      </c>
      <c r="BO189" s="764" t="s">
        <v>2639</v>
      </c>
      <c r="BP189" s="344"/>
      <c r="BQ189" s="767" t="s">
        <v>2701</v>
      </c>
      <c r="BR189" s="345" t="s">
        <v>2702</v>
      </c>
      <c r="BU189" s="345" t="s">
        <v>2705</v>
      </c>
      <c r="BV189" s="345" t="s">
        <v>2706</v>
      </c>
    </row>
    <row r="190" spans="54:74" ht="14.25" thickBot="1">
      <c r="BB190" s="770">
        <v>28008</v>
      </c>
      <c r="BC190" s="382" t="str">
        <f t="shared" si="2"/>
        <v>札幌市北区太平八条</v>
      </c>
      <c r="BD190" s="382" t="s">
        <v>572</v>
      </c>
      <c r="BE190" s="82" t="s">
        <v>720</v>
      </c>
      <c r="BF190" s="382"/>
      <c r="BG190" s="1228"/>
      <c r="BH190" s="82">
        <v>191</v>
      </c>
      <c r="BI190" s="382" t="s">
        <v>1793</v>
      </c>
      <c r="BJ190" s="382" t="s">
        <v>2015</v>
      </c>
      <c r="BK190" s="382" t="s">
        <v>2016</v>
      </c>
      <c r="BL190" s="382" t="s">
        <v>1813</v>
      </c>
      <c r="BM190" s="788">
        <v>10923</v>
      </c>
      <c r="BN190" s="764" t="s">
        <v>2697</v>
      </c>
      <c r="BO190" s="764" t="s">
        <v>2698</v>
      </c>
      <c r="BP190" s="344"/>
      <c r="BQ190" s="767" t="s">
        <v>2707</v>
      </c>
      <c r="BR190" s="345" t="s">
        <v>2708</v>
      </c>
      <c r="BU190" s="345" t="s">
        <v>2711</v>
      </c>
      <c r="BV190" s="345" t="s">
        <v>2712</v>
      </c>
    </row>
    <row r="191" spans="54:74" ht="14.25" thickBot="1">
      <c r="BB191" s="770">
        <v>28009</v>
      </c>
      <c r="BC191" s="382" t="str">
        <f t="shared" ref="BC191:BC254" si="3">BD191&amp;BE191</f>
        <v>札幌市北区太平九条</v>
      </c>
      <c r="BD191" s="382" t="s">
        <v>572</v>
      </c>
      <c r="BE191" s="82" t="s">
        <v>721</v>
      </c>
      <c r="BF191" s="382"/>
      <c r="BG191" s="1228"/>
      <c r="BH191" s="82">
        <v>192</v>
      </c>
      <c r="BI191" s="785" t="s">
        <v>1794</v>
      </c>
      <c r="BJ191" s="382" t="s">
        <v>2013</v>
      </c>
      <c r="BK191" s="382" t="s">
        <v>2014</v>
      </c>
      <c r="BL191" s="382" t="s">
        <v>1814</v>
      </c>
      <c r="BM191" s="788">
        <v>10925</v>
      </c>
      <c r="BN191" s="764" t="s">
        <v>2649</v>
      </c>
      <c r="BO191" s="764" t="s">
        <v>2650</v>
      </c>
      <c r="BP191" s="344"/>
      <c r="BQ191" s="767" t="s">
        <v>2713</v>
      </c>
      <c r="BR191" s="345" t="s">
        <v>2714</v>
      </c>
      <c r="BU191" s="345" t="s">
        <v>2717</v>
      </c>
      <c r="BV191" s="345" t="s">
        <v>2718</v>
      </c>
    </row>
    <row r="192" spans="54:74" ht="14.25" thickBot="1">
      <c r="BB192" s="770">
        <v>28010</v>
      </c>
      <c r="BC192" s="382" t="str">
        <f t="shared" si="3"/>
        <v>札幌市北区太平十条</v>
      </c>
      <c r="BD192" s="382" t="s">
        <v>572</v>
      </c>
      <c r="BE192" s="82" t="s">
        <v>722</v>
      </c>
      <c r="BF192" s="382"/>
      <c r="BG192" s="1228"/>
      <c r="BH192" s="82">
        <v>193</v>
      </c>
      <c r="BI192" s="382" t="s">
        <v>1493</v>
      </c>
      <c r="BJ192" s="382" t="s">
        <v>2011</v>
      </c>
      <c r="BK192" s="382" t="s">
        <v>2012</v>
      </c>
      <c r="BL192" s="382" t="s">
        <v>1815</v>
      </c>
      <c r="BM192" s="788">
        <v>28001</v>
      </c>
      <c r="BN192" s="764" t="s">
        <v>2757</v>
      </c>
      <c r="BO192" s="764" t="s">
        <v>2758</v>
      </c>
      <c r="BP192" s="344"/>
      <c r="BQ192" s="767" t="s">
        <v>2719</v>
      </c>
      <c r="BR192" s="345" t="s">
        <v>2720</v>
      </c>
      <c r="BU192" s="345" t="s">
        <v>2723</v>
      </c>
      <c r="BV192" s="345" t="s">
        <v>2724</v>
      </c>
    </row>
    <row r="193" spans="54:74" ht="14.25" thickBot="1">
      <c r="BB193" s="770">
        <v>28011</v>
      </c>
      <c r="BC193" s="382" t="str">
        <f t="shared" si="3"/>
        <v>札幌市北区太平十一条</v>
      </c>
      <c r="BD193" s="382" t="s">
        <v>572</v>
      </c>
      <c r="BE193" s="82" t="s">
        <v>723</v>
      </c>
      <c r="BF193" s="382"/>
      <c r="BG193" s="1228"/>
      <c r="BH193" s="82">
        <v>194</v>
      </c>
      <c r="BI193" s="382" t="s">
        <v>1528</v>
      </c>
      <c r="BJ193" s="382" t="s">
        <v>2009</v>
      </c>
      <c r="BK193" s="382" t="s">
        <v>2010</v>
      </c>
      <c r="BL193" s="382" t="s">
        <v>1816</v>
      </c>
      <c r="BM193" s="788">
        <v>28041</v>
      </c>
      <c r="BN193" s="764" t="s">
        <v>2661</v>
      </c>
      <c r="BO193" s="764" t="s">
        <v>2662</v>
      </c>
      <c r="BP193" s="344"/>
      <c r="BQ193" s="767" t="s">
        <v>2725</v>
      </c>
      <c r="BR193" s="345" t="s">
        <v>2726</v>
      </c>
      <c r="BU193" s="345" t="s">
        <v>2729</v>
      </c>
      <c r="BV193" s="345" t="s">
        <v>2730</v>
      </c>
    </row>
    <row r="194" spans="54:74" ht="14.25" thickBot="1">
      <c r="BB194" s="770">
        <v>28012</v>
      </c>
      <c r="BC194" s="382" t="str">
        <f t="shared" si="3"/>
        <v>札幌市北区太平十二条</v>
      </c>
      <c r="BD194" s="382" t="s">
        <v>572</v>
      </c>
      <c r="BE194" s="82" t="s">
        <v>724</v>
      </c>
      <c r="BF194" s="382"/>
      <c r="BG194" s="1228"/>
      <c r="BH194" s="82">
        <v>195</v>
      </c>
      <c r="BI194" s="785" t="s">
        <v>1795</v>
      </c>
      <c r="BJ194" s="382" t="s">
        <v>2007</v>
      </c>
      <c r="BK194" s="382" t="s">
        <v>2008</v>
      </c>
      <c r="BL194" s="382" t="s">
        <v>1817</v>
      </c>
      <c r="BM194" s="788">
        <v>20855</v>
      </c>
      <c r="BN194" s="764" t="s">
        <v>2739</v>
      </c>
      <c r="BO194" s="764" t="s">
        <v>2740</v>
      </c>
      <c r="BP194" s="344"/>
      <c r="BQ194" s="767" t="s">
        <v>2731</v>
      </c>
      <c r="BR194" s="345" t="s">
        <v>2732</v>
      </c>
      <c r="BU194" s="345" t="s">
        <v>2735</v>
      </c>
      <c r="BV194" s="345" t="s">
        <v>2736</v>
      </c>
    </row>
    <row r="195" spans="54:74" ht="14.25" thickBot="1">
      <c r="BB195" s="770">
        <v>28061</v>
      </c>
      <c r="BC195" s="382" t="str">
        <f t="shared" si="3"/>
        <v>札幌市北区拓北一条</v>
      </c>
      <c r="BD195" s="382" t="s">
        <v>572</v>
      </c>
      <c r="BE195" s="82" t="s">
        <v>725</v>
      </c>
      <c r="BF195" s="382"/>
      <c r="BG195" s="1228"/>
      <c r="BH195" s="82">
        <v>196</v>
      </c>
      <c r="BI195" s="785" t="s">
        <v>1508</v>
      </c>
      <c r="BJ195" s="382" t="s">
        <v>2005</v>
      </c>
      <c r="BK195" s="382" t="s">
        <v>2006</v>
      </c>
      <c r="BL195" s="382" t="s">
        <v>1818</v>
      </c>
      <c r="BM195" s="788">
        <v>20856</v>
      </c>
      <c r="BN195" s="764" t="s">
        <v>2769</v>
      </c>
      <c r="BO195" s="764" t="s">
        <v>2770</v>
      </c>
      <c r="BP195" s="344"/>
      <c r="BQ195" s="767" t="s">
        <v>2737</v>
      </c>
      <c r="BR195" s="345" t="s">
        <v>2738</v>
      </c>
      <c r="BU195" s="345" t="s">
        <v>2741</v>
      </c>
      <c r="BV195" s="345" t="s">
        <v>2742</v>
      </c>
    </row>
    <row r="196" spans="54:74" ht="14.25" thickBot="1">
      <c r="BB196" s="770">
        <v>28062</v>
      </c>
      <c r="BC196" s="382" t="str">
        <f t="shared" si="3"/>
        <v>札幌市北区拓北二条</v>
      </c>
      <c r="BD196" s="382" t="s">
        <v>572</v>
      </c>
      <c r="BE196" s="82" t="s">
        <v>726</v>
      </c>
      <c r="BF196" s="382"/>
      <c r="BG196" s="1228"/>
      <c r="BH196" s="82">
        <v>197</v>
      </c>
      <c r="BI196" s="382" t="s">
        <v>1506</v>
      </c>
      <c r="BJ196" s="382" t="s">
        <v>2003</v>
      </c>
      <c r="BK196" s="382" t="s">
        <v>2004</v>
      </c>
      <c r="BL196" s="382" t="s">
        <v>1819</v>
      </c>
      <c r="BM196" s="788">
        <v>20857</v>
      </c>
      <c r="BN196" s="764" t="s">
        <v>2644</v>
      </c>
      <c r="BO196" s="764" t="s">
        <v>2645</v>
      </c>
      <c r="BP196" s="344"/>
      <c r="BQ196" s="767" t="s">
        <v>2743</v>
      </c>
      <c r="BR196" s="345" t="s">
        <v>2744</v>
      </c>
      <c r="BU196" s="345" t="s">
        <v>2747</v>
      </c>
      <c r="BV196" s="345" t="s">
        <v>2748</v>
      </c>
    </row>
    <row r="197" spans="54:74" ht="14.25" thickBot="1">
      <c r="BB197" s="770">
        <v>28063</v>
      </c>
      <c r="BC197" s="382" t="str">
        <f t="shared" si="3"/>
        <v>札幌市北区拓北三条</v>
      </c>
      <c r="BD197" s="382" t="s">
        <v>572</v>
      </c>
      <c r="BE197" s="82" t="s">
        <v>727</v>
      </c>
      <c r="BF197" s="382"/>
      <c r="BG197" s="1228"/>
      <c r="BH197" s="82">
        <v>198</v>
      </c>
      <c r="BI197" s="785" t="s">
        <v>1507</v>
      </c>
      <c r="BJ197" s="382" t="s">
        <v>2001</v>
      </c>
      <c r="BK197" s="382" t="s">
        <v>2002</v>
      </c>
      <c r="BL197" s="382" t="s">
        <v>1820</v>
      </c>
      <c r="BM197" s="788">
        <v>20859</v>
      </c>
      <c r="BN197" s="764" t="s">
        <v>2786</v>
      </c>
      <c r="BO197" s="764" t="s">
        <v>2787</v>
      </c>
      <c r="BP197" s="344"/>
      <c r="BQ197" s="767" t="s">
        <v>2749</v>
      </c>
      <c r="BR197" s="345" t="s">
        <v>2750</v>
      </c>
      <c r="BU197" s="345" t="s">
        <v>2753</v>
      </c>
      <c r="BV197" s="345" t="s">
        <v>2754</v>
      </c>
    </row>
    <row r="198" spans="54:74" ht="14.25" thickBot="1">
      <c r="BB198" s="770">
        <v>28064</v>
      </c>
      <c r="BC198" s="382" t="str">
        <f t="shared" si="3"/>
        <v>札幌市北区拓北四条</v>
      </c>
      <c r="BD198" s="382" t="s">
        <v>572</v>
      </c>
      <c r="BE198" s="82" t="s">
        <v>728</v>
      </c>
      <c r="BF198" s="382"/>
      <c r="BG198" s="1228"/>
      <c r="BH198" s="82">
        <v>199</v>
      </c>
      <c r="BI198" s="382" t="s">
        <v>1583</v>
      </c>
      <c r="BJ198" s="382" t="s">
        <v>1999</v>
      </c>
      <c r="BK198" s="382" t="s">
        <v>2000</v>
      </c>
      <c r="BL198" s="382" t="s">
        <v>1821</v>
      </c>
      <c r="BM198" s="788">
        <v>28081</v>
      </c>
      <c r="BN198" s="764" t="s">
        <v>2780</v>
      </c>
      <c r="BO198" s="764" t="s">
        <v>2781</v>
      </c>
      <c r="BP198" s="344"/>
      <c r="BQ198" s="767" t="s">
        <v>2755</v>
      </c>
      <c r="BR198" s="345" t="s">
        <v>2756</v>
      </c>
      <c r="BU198" s="345" t="s">
        <v>2759</v>
      </c>
      <c r="BV198" s="345" t="s">
        <v>2760</v>
      </c>
    </row>
    <row r="199" spans="54:74" ht="14.25" thickBot="1">
      <c r="BB199" s="770">
        <v>28065</v>
      </c>
      <c r="BC199" s="382" t="str">
        <f t="shared" si="3"/>
        <v>札幌市北区拓北五条</v>
      </c>
      <c r="BD199" s="382" t="s">
        <v>572</v>
      </c>
      <c r="BE199" s="82" t="s">
        <v>729</v>
      </c>
      <c r="BF199" s="382"/>
      <c r="BG199" s="1228"/>
      <c r="BH199" s="82">
        <v>200</v>
      </c>
      <c r="BI199" s="382" t="s">
        <v>1469</v>
      </c>
      <c r="BJ199" s="382" t="s">
        <v>1997</v>
      </c>
      <c r="BK199" s="382" t="s">
        <v>1998</v>
      </c>
      <c r="BL199" s="382" t="s">
        <v>1822</v>
      </c>
      <c r="BM199" s="788">
        <v>10019</v>
      </c>
      <c r="BN199" s="764" t="s">
        <v>2626</v>
      </c>
      <c r="BO199" s="764" t="s">
        <v>2627</v>
      </c>
      <c r="BP199" s="344"/>
      <c r="BQ199" s="767" t="s">
        <v>2761</v>
      </c>
      <c r="BR199" s="345" t="s">
        <v>2762</v>
      </c>
      <c r="BU199" s="345" t="s">
        <v>2765</v>
      </c>
      <c r="BV199" s="345" t="s">
        <v>2766</v>
      </c>
    </row>
    <row r="200" spans="54:74" ht="14.25" thickBot="1">
      <c r="BB200" s="770">
        <v>28066</v>
      </c>
      <c r="BC200" s="382" t="str">
        <f t="shared" si="3"/>
        <v>札幌市北区拓北六条</v>
      </c>
      <c r="BD200" s="382" t="s">
        <v>572</v>
      </c>
      <c r="BE200" s="82" t="s">
        <v>730</v>
      </c>
      <c r="BF200" s="382"/>
      <c r="BG200" s="1228"/>
      <c r="BH200" s="82">
        <v>201</v>
      </c>
      <c r="BI200" s="382" t="s">
        <v>1796</v>
      </c>
      <c r="BJ200" s="382" t="s">
        <v>1995</v>
      </c>
      <c r="BK200" s="382" t="s">
        <v>1996</v>
      </c>
      <c r="BL200" s="382" t="s">
        <v>1823</v>
      </c>
      <c r="BM200" s="788">
        <v>10024</v>
      </c>
      <c r="BN200" s="764" t="s">
        <v>2632</v>
      </c>
      <c r="BO200" s="764" t="s">
        <v>2633</v>
      </c>
      <c r="BP200" s="344"/>
      <c r="BQ200" s="767" t="s">
        <v>2767</v>
      </c>
      <c r="BR200" s="345" t="s">
        <v>2768</v>
      </c>
      <c r="BU200" s="345" t="s">
        <v>2771</v>
      </c>
      <c r="BV200" s="345" t="s">
        <v>2772</v>
      </c>
    </row>
    <row r="201" spans="54:74" ht="27.75" thickBot="1">
      <c r="BB201" s="770">
        <v>28067</v>
      </c>
      <c r="BC201" s="382" t="str">
        <f t="shared" si="3"/>
        <v>札幌市北区拓北七条</v>
      </c>
      <c r="BD201" s="382" t="s">
        <v>572</v>
      </c>
      <c r="BE201" s="82" t="s">
        <v>731</v>
      </c>
      <c r="BF201" s="382"/>
      <c r="BG201" s="1228"/>
      <c r="BH201" s="82">
        <v>202</v>
      </c>
      <c r="BI201" s="382" t="s">
        <v>1486</v>
      </c>
      <c r="BJ201" s="382" t="s">
        <v>1993</v>
      </c>
      <c r="BK201" s="382" t="s">
        <v>1994</v>
      </c>
      <c r="BL201" s="382" t="s">
        <v>1824</v>
      </c>
      <c r="BM201" s="788">
        <v>10027</v>
      </c>
      <c r="BN201" s="764" t="s">
        <v>2685</v>
      </c>
      <c r="BO201" s="764" t="s">
        <v>2686</v>
      </c>
      <c r="BP201" s="344"/>
      <c r="BQ201" s="767" t="s">
        <v>2773</v>
      </c>
      <c r="BR201" s="345" t="s">
        <v>2774</v>
      </c>
      <c r="BU201" s="345" t="s">
        <v>2777</v>
      </c>
      <c r="BV201" s="345" t="s">
        <v>2778</v>
      </c>
    </row>
    <row r="202" spans="54:74" ht="14.25" thickBot="1">
      <c r="BB202" s="770">
        <v>28068</v>
      </c>
      <c r="BC202" s="382" t="str">
        <f t="shared" si="3"/>
        <v>札幌市北区拓北八条</v>
      </c>
      <c r="BD202" s="382" t="s">
        <v>572</v>
      </c>
      <c r="BE202" s="82" t="s">
        <v>732</v>
      </c>
      <c r="BF202" s="382"/>
      <c r="BG202" s="1228"/>
      <c r="BH202" s="82">
        <v>203</v>
      </c>
      <c r="BI202" s="382" t="s">
        <v>1554</v>
      </c>
      <c r="BJ202" s="382" t="s">
        <v>1991</v>
      </c>
      <c r="BK202" s="382" t="s">
        <v>1992</v>
      </c>
      <c r="BL202" s="382" t="s">
        <v>1825</v>
      </c>
      <c r="BM202" s="788">
        <v>10031</v>
      </c>
      <c r="BN202" s="764" t="s">
        <v>2745</v>
      </c>
      <c r="BO202" s="764" t="s">
        <v>2746</v>
      </c>
      <c r="BP202" s="344"/>
      <c r="BQ202" s="767" t="s">
        <v>759</v>
      </c>
      <c r="BR202" s="345" t="s">
        <v>2779</v>
      </c>
      <c r="BU202" s="345" t="s">
        <v>2782</v>
      </c>
      <c r="BV202" s="345" t="s">
        <v>2783</v>
      </c>
    </row>
    <row r="203" spans="54:74" ht="14.25" thickBot="1">
      <c r="BB203" s="770">
        <v>20851</v>
      </c>
      <c r="BC203" s="382" t="str">
        <f t="shared" si="3"/>
        <v>札幌市北区屯田一条</v>
      </c>
      <c r="BD203" s="382" t="s">
        <v>572</v>
      </c>
      <c r="BE203" s="82" t="s">
        <v>733</v>
      </c>
      <c r="BF203" s="382"/>
      <c r="BG203" s="1228"/>
      <c r="BH203" s="82">
        <v>204</v>
      </c>
      <c r="BI203" s="382" t="s">
        <v>1585</v>
      </c>
      <c r="BJ203" s="382" t="s">
        <v>1989</v>
      </c>
      <c r="BK203" s="382" t="s">
        <v>1990</v>
      </c>
      <c r="BL203" s="382" t="s">
        <v>1826</v>
      </c>
      <c r="BM203" s="788">
        <v>10034</v>
      </c>
      <c r="BN203" s="764" t="s">
        <v>2673</v>
      </c>
      <c r="BO203" s="764" t="s">
        <v>2674</v>
      </c>
      <c r="BP203" s="344"/>
      <c r="BQ203" s="767" t="s">
        <v>2784</v>
      </c>
      <c r="BR203" s="345" t="s">
        <v>2785</v>
      </c>
      <c r="BU203" s="345" t="s">
        <v>2788</v>
      </c>
      <c r="BV203" s="345" t="s">
        <v>2789</v>
      </c>
    </row>
    <row r="204" spans="54:74">
      <c r="BB204" s="770">
        <v>20852</v>
      </c>
      <c r="BC204" s="382" t="str">
        <f t="shared" si="3"/>
        <v>札幌市北区屯田二条</v>
      </c>
      <c r="BD204" s="382" t="s">
        <v>572</v>
      </c>
      <c r="BE204" s="82" t="s">
        <v>734</v>
      </c>
      <c r="BF204" s="382"/>
      <c r="BG204" s="1228"/>
      <c r="BH204" s="82">
        <v>205</v>
      </c>
      <c r="BI204" s="785" t="s">
        <v>1457</v>
      </c>
      <c r="BJ204" s="382" t="s">
        <v>1968</v>
      </c>
      <c r="BK204" s="382" t="s">
        <v>1969</v>
      </c>
      <c r="BL204" s="382" t="s">
        <v>1827</v>
      </c>
      <c r="BM204" s="788">
        <v>600809</v>
      </c>
      <c r="BN204" s="764" t="s">
        <v>2620</v>
      </c>
      <c r="BO204" s="764" t="s">
        <v>2621</v>
      </c>
      <c r="BP204" s="344"/>
      <c r="BQ204" s="1221" t="s">
        <v>2790</v>
      </c>
      <c r="BR204" s="349" t="s">
        <v>2791</v>
      </c>
      <c r="BS204" s="1152" t="s">
        <v>2793</v>
      </c>
      <c r="BT204" s="1152" t="s">
        <v>2794</v>
      </c>
      <c r="BU204" s="1152" t="s">
        <v>2628</v>
      </c>
      <c r="BV204" s="1152" t="s">
        <v>2795</v>
      </c>
    </row>
    <row r="205" spans="54:74" ht="14.25" thickBot="1">
      <c r="BB205" s="794">
        <v>20853</v>
      </c>
      <c r="BC205" s="344" t="str">
        <f t="shared" si="3"/>
        <v>札幌市北区屯田三条</v>
      </c>
      <c r="BD205" s="56" t="s">
        <v>572</v>
      </c>
      <c r="BE205" s="303" t="s">
        <v>735</v>
      </c>
      <c r="BF205" s="344"/>
      <c r="BG205" s="344"/>
      <c r="BH205" s="344"/>
      <c r="BI205" s="344"/>
      <c r="BJ205" s="344"/>
      <c r="BK205" s="344"/>
      <c r="BL205" s="344"/>
      <c r="BO205" s="344"/>
      <c r="BP205" s="344"/>
      <c r="BQ205" s="1222"/>
      <c r="BR205" s="350" t="s">
        <v>2792</v>
      </c>
      <c r="BS205" s="1153"/>
      <c r="BT205" s="1153"/>
      <c r="BU205" s="1153"/>
      <c r="BV205" s="1153"/>
    </row>
    <row r="206" spans="54:74">
      <c r="BB206" s="794">
        <v>20854</v>
      </c>
      <c r="BC206" s="344" t="str">
        <f t="shared" si="3"/>
        <v>札幌市北区屯田四条</v>
      </c>
      <c r="BD206" s="56" t="s">
        <v>572</v>
      </c>
      <c r="BE206" s="303" t="s">
        <v>736</v>
      </c>
      <c r="BF206" s="344"/>
      <c r="BG206" s="344"/>
      <c r="BH206" s="344"/>
      <c r="BI206" s="344"/>
      <c r="BJ206" s="344"/>
      <c r="BK206" s="344"/>
      <c r="BL206" s="344"/>
      <c r="BO206" s="344"/>
      <c r="BP206" s="344"/>
    </row>
    <row r="207" spans="54:74">
      <c r="BB207" s="794">
        <v>20855</v>
      </c>
      <c r="BC207" s="344" t="str">
        <f t="shared" si="3"/>
        <v>札幌市北区屯田五条</v>
      </c>
      <c r="BD207" s="56" t="s">
        <v>572</v>
      </c>
      <c r="BE207" s="303" t="s">
        <v>737</v>
      </c>
      <c r="BF207" s="344"/>
      <c r="BG207" s="344"/>
      <c r="BH207" s="344"/>
      <c r="BI207" s="344"/>
      <c r="BJ207" s="344"/>
      <c r="BK207" s="344"/>
      <c r="BL207" s="344"/>
      <c r="BO207" s="344"/>
      <c r="BP207" s="344"/>
    </row>
    <row r="208" spans="54:74">
      <c r="BB208" s="794">
        <v>20856</v>
      </c>
      <c r="BC208" s="344" t="str">
        <f t="shared" si="3"/>
        <v>札幌市北区屯田六条</v>
      </c>
      <c r="BD208" s="56" t="s">
        <v>572</v>
      </c>
      <c r="BE208" s="303" t="s">
        <v>738</v>
      </c>
      <c r="BF208" s="344"/>
      <c r="BG208" s="344"/>
      <c r="BH208" s="344"/>
      <c r="BI208" s="344"/>
      <c r="BJ208" s="344"/>
      <c r="BK208" s="344"/>
      <c r="BL208" s="344"/>
      <c r="BO208" s="344"/>
      <c r="BP208" s="344"/>
    </row>
    <row r="209" spans="54:68">
      <c r="BB209" s="794">
        <v>20857</v>
      </c>
      <c r="BC209" s="344" t="str">
        <f t="shared" si="3"/>
        <v>札幌市北区屯田七条</v>
      </c>
      <c r="BD209" s="56" t="s">
        <v>572</v>
      </c>
      <c r="BE209" s="303" t="s">
        <v>739</v>
      </c>
      <c r="BF209" s="344"/>
      <c r="BG209" s="344"/>
      <c r="BH209" s="344"/>
      <c r="BI209" s="344"/>
      <c r="BJ209" s="344"/>
      <c r="BK209" s="344"/>
      <c r="BL209" s="344"/>
      <c r="BO209" s="344"/>
      <c r="BP209" s="344"/>
    </row>
    <row r="210" spans="54:68">
      <c r="BB210" s="794">
        <v>20858</v>
      </c>
      <c r="BC210" s="344" t="str">
        <f t="shared" si="3"/>
        <v>札幌市北区屯田八条</v>
      </c>
      <c r="BD210" s="56" t="s">
        <v>572</v>
      </c>
      <c r="BE210" s="303" t="s">
        <v>740</v>
      </c>
      <c r="BF210" s="344"/>
      <c r="BG210" s="344"/>
      <c r="BH210" s="344"/>
      <c r="BI210" s="344"/>
      <c r="BJ210" s="344"/>
      <c r="BK210" s="344"/>
      <c r="BL210" s="344"/>
      <c r="BO210" s="344"/>
      <c r="BP210" s="344"/>
    </row>
    <row r="211" spans="54:68">
      <c r="BB211" s="794">
        <v>20859</v>
      </c>
      <c r="BC211" s="344" t="str">
        <f t="shared" si="3"/>
        <v>札幌市北区屯田九条</v>
      </c>
      <c r="BD211" s="56" t="s">
        <v>572</v>
      </c>
      <c r="BE211" s="303" t="s">
        <v>741</v>
      </c>
      <c r="BF211" s="344"/>
      <c r="BG211" s="344"/>
      <c r="BH211" s="344"/>
      <c r="BI211" s="344"/>
      <c r="BJ211" s="344"/>
      <c r="BK211" s="344"/>
      <c r="BL211" s="344"/>
      <c r="BO211" s="344"/>
      <c r="BP211" s="344"/>
    </row>
    <row r="212" spans="54:68">
      <c r="BB212" s="794">
        <v>20860</v>
      </c>
      <c r="BC212" s="344" t="str">
        <f t="shared" si="3"/>
        <v>札幌市北区屯田十条</v>
      </c>
      <c r="BD212" s="56" t="s">
        <v>572</v>
      </c>
      <c r="BE212" s="303" t="s">
        <v>742</v>
      </c>
      <c r="BF212" s="344"/>
      <c r="BG212" s="344"/>
      <c r="BH212" s="344"/>
      <c r="BI212" s="344"/>
      <c r="BJ212" s="344"/>
      <c r="BK212" s="344"/>
      <c r="BL212" s="344"/>
      <c r="BO212" s="344"/>
      <c r="BP212" s="344"/>
    </row>
    <row r="213" spans="54:68">
      <c r="BB213" s="794">
        <v>20861</v>
      </c>
      <c r="BC213" s="344" t="str">
        <f t="shared" si="3"/>
        <v>札幌市北区屯田十一条</v>
      </c>
      <c r="BD213" s="56" t="s">
        <v>572</v>
      </c>
      <c r="BE213" s="303" t="s">
        <v>743</v>
      </c>
      <c r="BF213" s="344"/>
      <c r="BG213" s="344"/>
      <c r="BH213" s="344"/>
      <c r="BI213" s="344"/>
      <c r="BJ213" s="344"/>
      <c r="BK213" s="344"/>
      <c r="BL213" s="344"/>
      <c r="BO213" s="344"/>
      <c r="BP213" s="344"/>
    </row>
    <row r="214" spans="54:68">
      <c r="BB214" s="794">
        <v>20865</v>
      </c>
      <c r="BC214" s="344" t="str">
        <f t="shared" si="3"/>
        <v>札幌市北区屯田町</v>
      </c>
      <c r="BD214" s="56" t="s">
        <v>572</v>
      </c>
      <c r="BE214" s="303" t="s">
        <v>744</v>
      </c>
      <c r="BF214" s="344"/>
      <c r="BG214" s="344"/>
      <c r="BH214" s="344"/>
      <c r="BI214" s="344"/>
      <c r="BJ214" s="344"/>
      <c r="BK214" s="344"/>
      <c r="BL214" s="344"/>
      <c r="BO214" s="344"/>
      <c r="BP214" s="344"/>
    </row>
    <row r="215" spans="54:68">
      <c r="BB215" s="794">
        <v>28038</v>
      </c>
      <c r="BC215" s="344" t="str">
        <f t="shared" si="3"/>
        <v>札幌市北区西茨戸</v>
      </c>
      <c r="BD215" s="56" t="s">
        <v>572</v>
      </c>
      <c r="BE215" s="303" t="s">
        <v>745</v>
      </c>
      <c r="BF215" s="344"/>
      <c r="BG215" s="344"/>
      <c r="BH215" s="344"/>
      <c r="BI215" s="344"/>
      <c r="BJ215" s="344"/>
      <c r="BK215" s="344"/>
      <c r="BL215" s="344"/>
      <c r="BO215" s="344"/>
      <c r="BP215" s="344"/>
    </row>
    <row r="216" spans="54:68">
      <c r="BB216" s="794">
        <v>28031</v>
      </c>
      <c r="BC216" s="344" t="str">
        <f t="shared" si="3"/>
        <v>札幌市北区西茨戸一条</v>
      </c>
      <c r="BD216" s="56" t="s">
        <v>572</v>
      </c>
      <c r="BE216" s="303" t="s">
        <v>746</v>
      </c>
      <c r="BF216" s="344"/>
      <c r="BG216" s="344"/>
      <c r="BH216" s="344"/>
      <c r="BI216" s="344"/>
      <c r="BJ216" s="344"/>
      <c r="BK216" s="344"/>
      <c r="BL216" s="344"/>
      <c r="BO216" s="344"/>
      <c r="BP216" s="344"/>
    </row>
    <row r="217" spans="54:68">
      <c r="BB217" s="794">
        <v>28032</v>
      </c>
      <c r="BC217" s="344" t="str">
        <f t="shared" si="3"/>
        <v>札幌市北区西茨戸二条</v>
      </c>
      <c r="BD217" s="56" t="s">
        <v>572</v>
      </c>
      <c r="BE217" s="303" t="s">
        <v>747</v>
      </c>
      <c r="BF217" s="344"/>
      <c r="BG217" s="344"/>
      <c r="BH217" s="344"/>
      <c r="BI217" s="344"/>
      <c r="BJ217" s="344"/>
      <c r="BK217" s="344"/>
      <c r="BL217" s="344"/>
      <c r="BO217" s="344"/>
      <c r="BP217" s="344"/>
    </row>
    <row r="218" spans="54:68">
      <c r="BB218" s="794">
        <v>28033</v>
      </c>
      <c r="BC218" s="344" t="str">
        <f t="shared" si="3"/>
        <v>札幌市北区西茨戸三条</v>
      </c>
      <c r="BD218" s="56" t="s">
        <v>572</v>
      </c>
      <c r="BE218" s="303" t="s">
        <v>748</v>
      </c>
      <c r="BF218" s="344"/>
      <c r="BG218" s="344"/>
      <c r="BH218" s="344"/>
      <c r="BI218" s="344"/>
      <c r="BJ218" s="344"/>
      <c r="BK218" s="344"/>
      <c r="BL218" s="344"/>
      <c r="BO218" s="344"/>
      <c r="BP218" s="344"/>
    </row>
    <row r="219" spans="54:68">
      <c r="BB219" s="794">
        <v>28034</v>
      </c>
      <c r="BC219" s="344" t="str">
        <f t="shared" si="3"/>
        <v>札幌市北区西茨戸四条</v>
      </c>
      <c r="BD219" s="56" t="s">
        <v>572</v>
      </c>
      <c r="BE219" s="303" t="s">
        <v>749</v>
      </c>
      <c r="BF219" s="344"/>
      <c r="BG219" s="344"/>
      <c r="BH219" s="344"/>
      <c r="BI219" s="344"/>
      <c r="BJ219" s="344"/>
      <c r="BK219" s="344"/>
      <c r="BL219" s="344"/>
      <c r="BO219" s="344"/>
      <c r="BP219" s="344"/>
    </row>
    <row r="220" spans="54:68">
      <c r="BB220" s="794">
        <v>28035</v>
      </c>
      <c r="BC220" s="344" t="str">
        <f t="shared" si="3"/>
        <v>札幌市北区西茨戸五条</v>
      </c>
      <c r="BD220" s="56" t="s">
        <v>572</v>
      </c>
      <c r="BE220" s="303" t="s">
        <v>750</v>
      </c>
      <c r="BF220" s="344"/>
      <c r="BG220" s="344"/>
      <c r="BH220" s="344"/>
      <c r="BI220" s="344"/>
      <c r="BJ220" s="344"/>
      <c r="BK220" s="344"/>
      <c r="BL220" s="344"/>
      <c r="BO220" s="344"/>
      <c r="BP220" s="344"/>
    </row>
    <row r="221" spans="54:68">
      <c r="BB221" s="794">
        <v>28036</v>
      </c>
      <c r="BC221" s="344" t="str">
        <f t="shared" si="3"/>
        <v>札幌市北区西茨戸六条</v>
      </c>
      <c r="BD221" s="56" t="s">
        <v>572</v>
      </c>
      <c r="BE221" s="303" t="s">
        <v>751</v>
      </c>
      <c r="BF221" s="344"/>
      <c r="BG221" s="344"/>
      <c r="BH221" s="344"/>
      <c r="BI221" s="344"/>
      <c r="BJ221" s="344"/>
      <c r="BK221" s="344"/>
      <c r="BL221" s="344"/>
      <c r="BO221" s="344"/>
      <c r="BP221" s="344"/>
    </row>
    <row r="222" spans="54:68">
      <c r="BB222" s="794">
        <v>28037</v>
      </c>
      <c r="BC222" s="344" t="str">
        <f t="shared" si="3"/>
        <v>札幌市北区西茨戸七条</v>
      </c>
      <c r="BD222" s="56" t="s">
        <v>572</v>
      </c>
      <c r="BE222" s="303" t="s">
        <v>752</v>
      </c>
      <c r="BF222" s="344"/>
      <c r="BG222" s="344"/>
      <c r="BH222" s="344"/>
      <c r="BI222" s="344"/>
      <c r="BJ222" s="344"/>
      <c r="BK222" s="344"/>
      <c r="BL222" s="344"/>
      <c r="BO222" s="344"/>
      <c r="BP222" s="344"/>
    </row>
    <row r="223" spans="54:68">
      <c r="BB223" s="794">
        <v>28043</v>
      </c>
      <c r="BC223" s="344" t="str">
        <f t="shared" si="3"/>
        <v>札幌市北区東茨戸</v>
      </c>
      <c r="BD223" s="56" t="s">
        <v>572</v>
      </c>
      <c r="BE223" s="303" t="s">
        <v>753</v>
      </c>
      <c r="BF223" s="344"/>
      <c r="BG223" s="344"/>
      <c r="BH223" s="344"/>
      <c r="BI223" s="344"/>
      <c r="BJ223" s="344"/>
      <c r="BK223" s="344"/>
      <c r="BL223" s="344"/>
      <c r="BO223" s="344"/>
      <c r="BP223" s="344"/>
    </row>
    <row r="224" spans="54:68">
      <c r="BB224" s="794">
        <v>28041</v>
      </c>
      <c r="BC224" s="344" t="str">
        <f t="shared" si="3"/>
        <v>札幌市北区東茨戸一条</v>
      </c>
      <c r="BD224" s="56" t="s">
        <v>572</v>
      </c>
      <c r="BE224" s="303" t="s">
        <v>754</v>
      </c>
      <c r="BF224" s="344"/>
      <c r="BG224" s="344"/>
      <c r="BH224" s="344"/>
      <c r="BI224" s="344"/>
      <c r="BJ224" s="344"/>
      <c r="BK224" s="344"/>
      <c r="BL224" s="344"/>
      <c r="BO224" s="344"/>
      <c r="BP224" s="344"/>
    </row>
    <row r="225" spans="54:68">
      <c r="BB225" s="794">
        <v>28042</v>
      </c>
      <c r="BC225" s="344" t="str">
        <f t="shared" si="3"/>
        <v>札幌市北区東茨戸二条</v>
      </c>
      <c r="BD225" s="56" t="s">
        <v>572</v>
      </c>
      <c r="BE225" s="303" t="s">
        <v>755</v>
      </c>
      <c r="BF225" s="344"/>
      <c r="BG225" s="344"/>
      <c r="BH225" s="344"/>
      <c r="BI225" s="344"/>
      <c r="BJ225" s="344"/>
      <c r="BK225" s="344"/>
      <c r="BL225" s="344"/>
      <c r="BO225" s="344"/>
      <c r="BP225" s="344"/>
    </row>
    <row r="226" spans="54:68">
      <c r="BB226" s="794">
        <v>28044</v>
      </c>
      <c r="BC226" s="344" t="str">
        <f t="shared" si="3"/>
        <v>札幌市北区東茨戸三条</v>
      </c>
      <c r="BD226" s="56" t="s">
        <v>572</v>
      </c>
      <c r="BE226" s="303" t="s">
        <v>756</v>
      </c>
      <c r="BF226" s="344"/>
      <c r="BG226" s="344"/>
      <c r="BH226" s="344"/>
      <c r="BI226" s="344"/>
      <c r="BJ226" s="344"/>
      <c r="BK226" s="344"/>
      <c r="BL226" s="344"/>
      <c r="BO226" s="344"/>
      <c r="BP226" s="344"/>
    </row>
    <row r="227" spans="54:68">
      <c r="BB227" s="794">
        <v>28045</v>
      </c>
      <c r="BC227" s="344" t="str">
        <f t="shared" si="3"/>
        <v>札幌市北区東茨戸四条</v>
      </c>
      <c r="BD227" s="56" t="s">
        <v>572</v>
      </c>
      <c r="BE227" s="303" t="s">
        <v>757</v>
      </c>
      <c r="BF227" s="344"/>
      <c r="BG227" s="344"/>
      <c r="BH227" s="344"/>
      <c r="BI227" s="344"/>
      <c r="BJ227" s="344"/>
      <c r="BK227" s="344"/>
      <c r="BL227" s="344"/>
      <c r="BO227" s="344"/>
      <c r="BP227" s="344"/>
    </row>
    <row r="228" spans="54:68">
      <c r="BB228" s="794">
        <v>28091</v>
      </c>
      <c r="BC228" s="344" t="str">
        <f t="shared" si="3"/>
        <v>札幌市北区南あいの里</v>
      </c>
      <c r="BD228" s="56" t="s">
        <v>572</v>
      </c>
      <c r="BE228" s="303" t="s">
        <v>758</v>
      </c>
      <c r="BF228" s="344"/>
      <c r="BG228" s="344"/>
      <c r="BH228" s="344"/>
      <c r="BI228" s="344"/>
      <c r="BJ228" s="344"/>
      <c r="BK228" s="344"/>
      <c r="BL228" s="344"/>
      <c r="BO228" s="344"/>
      <c r="BP228" s="344"/>
    </row>
    <row r="229" spans="54:68">
      <c r="BB229" s="794">
        <v>28081</v>
      </c>
      <c r="BC229" s="344" t="str">
        <f t="shared" si="3"/>
        <v>札幌市北区百合が原</v>
      </c>
      <c r="BD229" s="56" t="s">
        <v>572</v>
      </c>
      <c r="BE229" s="303" t="s">
        <v>759</v>
      </c>
      <c r="BF229" s="344"/>
      <c r="BG229" s="344"/>
      <c r="BH229" s="344"/>
      <c r="BI229" s="344"/>
      <c r="BJ229" s="344"/>
      <c r="BK229" s="344"/>
      <c r="BL229" s="344"/>
      <c r="BO229" s="344"/>
      <c r="BP229" s="344"/>
    </row>
    <row r="230" spans="54:68">
      <c r="BB230" s="794">
        <v>28082</v>
      </c>
      <c r="BC230" s="344" t="str">
        <f t="shared" si="3"/>
        <v>札幌市北区百合が原公園</v>
      </c>
      <c r="BD230" s="56" t="s">
        <v>572</v>
      </c>
      <c r="BE230" s="303" t="s">
        <v>760</v>
      </c>
      <c r="BF230" s="344"/>
      <c r="BG230" s="344"/>
      <c r="BH230" s="344"/>
      <c r="BI230" s="344"/>
      <c r="BJ230" s="344"/>
      <c r="BK230" s="344"/>
      <c r="BL230" s="344"/>
      <c r="BO230" s="344"/>
      <c r="BP230" s="344"/>
    </row>
    <row r="231" spans="54:68">
      <c r="BB231" s="794">
        <v>650000</v>
      </c>
      <c r="BC231" s="344" t="str">
        <f t="shared" si="3"/>
        <v>札幌市東区</v>
      </c>
      <c r="BD231" s="56" t="s">
        <v>573</v>
      </c>
      <c r="BE231" s="303"/>
      <c r="BF231" s="344"/>
      <c r="BG231" s="344"/>
      <c r="BH231" s="344"/>
      <c r="BI231" s="344"/>
      <c r="BJ231" s="344"/>
      <c r="BK231" s="344"/>
      <c r="BL231" s="344"/>
      <c r="BO231" s="344"/>
      <c r="BP231" s="344"/>
    </row>
    <row r="232" spans="54:68">
      <c r="BB232" s="794">
        <v>70880</v>
      </c>
      <c r="BC232" s="344" t="str">
        <f t="shared" si="3"/>
        <v>札幌市東区丘珠町</v>
      </c>
      <c r="BD232" s="56" t="s">
        <v>573</v>
      </c>
      <c r="BE232" s="303" t="s">
        <v>761</v>
      </c>
      <c r="BF232" s="344"/>
      <c r="BG232" s="344"/>
      <c r="BH232" s="344"/>
      <c r="BI232" s="344"/>
      <c r="BJ232" s="344"/>
      <c r="BK232" s="344"/>
      <c r="BL232" s="344"/>
      <c r="BO232" s="344"/>
      <c r="BP232" s="344"/>
    </row>
    <row r="233" spans="54:68">
      <c r="BB233" s="794">
        <v>70881</v>
      </c>
      <c r="BC233" s="344" t="str">
        <f t="shared" si="3"/>
        <v>札幌市東区北丘珠一条</v>
      </c>
      <c r="BD233" s="56" t="s">
        <v>573</v>
      </c>
      <c r="BE233" s="303" t="s">
        <v>762</v>
      </c>
      <c r="BF233" s="344"/>
      <c r="BG233" s="344"/>
      <c r="BH233" s="344"/>
      <c r="BI233" s="344"/>
      <c r="BJ233" s="344"/>
      <c r="BK233" s="344"/>
      <c r="BL233" s="344"/>
      <c r="BO233" s="344"/>
      <c r="BP233" s="344"/>
    </row>
    <row r="234" spans="54:68">
      <c r="BB234" s="794">
        <v>70882</v>
      </c>
      <c r="BC234" s="344" t="str">
        <f t="shared" si="3"/>
        <v>札幌市東区北丘珠二条</v>
      </c>
      <c r="BD234" s="56" t="s">
        <v>573</v>
      </c>
      <c r="BE234" s="303" t="s">
        <v>763</v>
      </c>
      <c r="BF234" s="344"/>
      <c r="BG234" s="344"/>
      <c r="BH234" s="344"/>
      <c r="BI234" s="344"/>
      <c r="BJ234" s="344"/>
      <c r="BK234" s="344"/>
      <c r="BL234" s="344"/>
      <c r="BO234" s="344"/>
      <c r="BP234" s="344"/>
    </row>
    <row r="235" spans="54:68">
      <c r="BB235" s="794">
        <v>70883</v>
      </c>
      <c r="BC235" s="344" t="str">
        <f t="shared" si="3"/>
        <v>札幌市東区北丘珠三条</v>
      </c>
      <c r="BD235" s="56" t="s">
        <v>573</v>
      </c>
      <c r="BE235" s="303" t="s">
        <v>764</v>
      </c>
      <c r="BF235" s="344"/>
      <c r="BG235" s="344"/>
      <c r="BH235" s="344"/>
      <c r="BI235" s="344"/>
      <c r="BJ235" s="344"/>
      <c r="BK235" s="344"/>
      <c r="BL235" s="344"/>
      <c r="BO235" s="344"/>
      <c r="BP235" s="344"/>
    </row>
    <row r="236" spans="54:68">
      <c r="BB236" s="794">
        <v>70884</v>
      </c>
      <c r="BC236" s="344" t="str">
        <f t="shared" si="3"/>
        <v>札幌市東区北丘珠四条</v>
      </c>
      <c r="BD236" s="56" t="s">
        <v>573</v>
      </c>
      <c r="BE236" s="303" t="s">
        <v>765</v>
      </c>
      <c r="BF236" s="344"/>
      <c r="BG236" s="344"/>
      <c r="BH236" s="344"/>
      <c r="BI236" s="344"/>
      <c r="BJ236" s="344"/>
      <c r="BK236" s="344"/>
      <c r="BL236" s="344"/>
      <c r="BO236" s="344"/>
      <c r="BP236" s="344"/>
    </row>
    <row r="237" spans="54:68">
      <c r="BB237" s="794">
        <v>70885</v>
      </c>
      <c r="BC237" s="344" t="str">
        <f t="shared" si="3"/>
        <v>札幌市東区北丘珠五条</v>
      </c>
      <c r="BD237" s="56" t="s">
        <v>573</v>
      </c>
      <c r="BE237" s="303" t="s">
        <v>766</v>
      </c>
      <c r="BF237" s="344"/>
      <c r="BG237" s="344"/>
      <c r="BH237" s="344"/>
      <c r="BI237" s="344"/>
      <c r="BJ237" s="344"/>
      <c r="BK237" s="344"/>
      <c r="BL237" s="344"/>
      <c r="BO237" s="344"/>
      <c r="BP237" s="344"/>
    </row>
    <row r="238" spans="54:68">
      <c r="BB238" s="794">
        <v>70886</v>
      </c>
      <c r="BC238" s="344" t="str">
        <f t="shared" si="3"/>
        <v>札幌市東区北丘珠六条</v>
      </c>
      <c r="BD238" s="56" t="s">
        <v>573</v>
      </c>
      <c r="BE238" s="303" t="s">
        <v>767</v>
      </c>
      <c r="BF238" s="344"/>
      <c r="BG238" s="344"/>
      <c r="BH238" s="344"/>
      <c r="BI238" s="344"/>
      <c r="BJ238" s="344"/>
      <c r="BK238" s="344"/>
      <c r="BL238" s="344"/>
      <c r="BO238" s="344"/>
      <c r="BP238" s="344"/>
    </row>
    <row r="239" spans="54:68">
      <c r="BB239" s="794">
        <v>650004</v>
      </c>
      <c r="BC239" s="344" t="str">
        <f t="shared" si="3"/>
        <v>札幌市東区北四条東</v>
      </c>
      <c r="BD239" s="56" t="s">
        <v>573</v>
      </c>
      <c r="BE239" s="303" t="s">
        <v>1325</v>
      </c>
      <c r="BF239" s="344"/>
      <c r="BG239" s="344"/>
      <c r="BH239" s="344"/>
      <c r="BI239" s="344"/>
      <c r="BJ239" s="344"/>
      <c r="BK239" s="344"/>
      <c r="BL239" s="344"/>
      <c r="BO239" s="344"/>
      <c r="BP239" s="344"/>
    </row>
    <row r="240" spans="54:68">
      <c r="BB240" s="794">
        <v>600905</v>
      </c>
      <c r="BC240" s="344" t="str">
        <f t="shared" si="3"/>
        <v>札幌市東区北五条東</v>
      </c>
      <c r="BD240" s="56" t="s">
        <v>573</v>
      </c>
      <c r="BE240" s="303" t="s">
        <v>1324</v>
      </c>
      <c r="BF240" s="344"/>
      <c r="BG240" s="344"/>
      <c r="BH240" s="344"/>
      <c r="BI240" s="344"/>
      <c r="BJ240" s="344"/>
      <c r="BK240" s="344"/>
      <c r="BL240" s="344"/>
      <c r="BO240" s="344"/>
      <c r="BP240" s="344"/>
    </row>
    <row r="241" spans="54:68">
      <c r="BB241" s="794">
        <v>650005</v>
      </c>
      <c r="BC241" s="344" t="str">
        <f t="shared" si="3"/>
        <v>札幌市東区北五条東</v>
      </c>
      <c r="BD241" s="56" t="s">
        <v>573</v>
      </c>
      <c r="BE241" s="303" t="s">
        <v>1324</v>
      </c>
      <c r="BF241" s="344"/>
      <c r="BG241" s="344"/>
      <c r="BH241" s="344"/>
      <c r="BI241" s="344"/>
      <c r="BJ241" s="344"/>
      <c r="BK241" s="344"/>
      <c r="BL241" s="344"/>
      <c r="BO241" s="344"/>
      <c r="BP241" s="344"/>
    </row>
    <row r="242" spans="54:68">
      <c r="BB242" s="794">
        <v>600906</v>
      </c>
      <c r="BC242" s="344" t="str">
        <f t="shared" si="3"/>
        <v>札幌市東区北六条東</v>
      </c>
      <c r="BD242" s="56" t="s">
        <v>573</v>
      </c>
      <c r="BE242" s="303" t="s">
        <v>1323</v>
      </c>
      <c r="BF242" s="344"/>
      <c r="BG242" s="344"/>
      <c r="BH242" s="344"/>
      <c r="BI242" s="344"/>
      <c r="BJ242" s="344"/>
      <c r="BK242" s="344"/>
      <c r="BL242" s="344"/>
      <c r="BO242" s="344"/>
      <c r="BP242" s="344"/>
    </row>
    <row r="243" spans="54:68">
      <c r="BB243" s="794">
        <v>650006</v>
      </c>
      <c r="BC243" s="344" t="str">
        <f t="shared" si="3"/>
        <v>札幌市東区北六条東</v>
      </c>
      <c r="BD243" s="56" t="s">
        <v>573</v>
      </c>
      <c r="BE243" s="303" t="s">
        <v>1322</v>
      </c>
      <c r="BF243" s="344"/>
      <c r="BG243" s="344"/>
      <c r="BH243" s="344"/>
      <c r="BI243" s="344"/>
      <c r="BJ243" s="344"/>
      <c r="BK243" s="344"/>
      <c r="BL243" s="344"/>
      <c r="BO243" s="344"/>
      <c r="BP243" s="344"/>
    </row>
    <row r="244" spans="54:68">
      <c r="BB244" s="794">
        <v>600907</v>
      </c>
      <c r="BC244" s="344" t="str">
        <f t="shared" si="3"/>
        <v>札幌市東区北七条東</v>
      </c>
      <c r="BD244" s="56" t="s">
        <v>573</v>
      </c>
      <c r="BE244" s="303" t="s">
        <v>1321</v>
      </c>
      <c r="BF244" s="344"/>
      <c r="BG244" s="344"/>
      <c r="BH244" s="344"/>
      <c r="BI244" s="344"/>
      <c r="BJ244" s="344"/>
      <c r="BK244" s="344"/>
      <c r="BL244" s="344"/>
      <c r="BO244" s="344"/>
      <c r="BP244" s="344"/>
    </row>
    <row r="245" spans="54:68">
      <c r="BB245" s="794">
        <v>650007</v>
      </c>
      <c r="BC245" s="344" t="str">
        <f t="shared" si="3"/>
        <v>札幌市東区北七条東</v>
      </c>
      <c r="BD245" s="56" t="s">
        <v>573</v>
      </c>
      <c r="BE245" s="303" t="s">
        <v>1321</v>
      </c>
      <c r="BF245" s="344"/>
      <c r="BG245" s="344"/>
      <c r="BH245" s="344"/>
      <c r="BI245" s="344"/>
      <c r="BJ245" s="344"/>
      <c r="BK245" s="344"/>
      <c r="BL245" s="344"/>
      <c r="BO245" s="344"/>
      <c r="BP245" s="344"/>
    </row>
    <row r="246" spans="54:68">
      <c r="BB246" s="794">
        <v>600908</v>
      </c>
      <c r="BC246" s="344" t="str">
        <f t="shared" si="3"/>
        <v>札幌市東区北八条東</v>
      </c>
      <c r="BD246" s="56" t="s">
        <v>573</v>
      </c>
      <c r="BE246" s="303" t="s">
        <v>1320</v>
      </c>
      <c r="BF246" s="344"/>
      <c r="BG246" s="344"/>
      <c r="BH246" s="344"/>
      <c r="BI246" s="344"/>
      <c r="BJ246" s="344"/>
      <c r="BK246" s="344"/>
      <c r="BL246" s="344"/>
      <c r="BO246" s="344"/>
      <c r="BP246" s="344"/>
    </row>
    <row r="247" spans="54:68">
      <c r="BB247" s="794">
        <v>650008</v>
      </c>
      <c r="BC247" s="344" t="str">
        <f t="shared" si="3"/>
        <v>札幌市東区北八条東</v>
      </c>
      <c r="BD247" s="56" t="s">
        <v>573</v>
      </c>
      <c r="BE247" s="303" t="s">
        <v>1319</v>
      </c>
      <c r="BF247" s="344"/>
      <c r="BG247" s="344"/>
      <c r="BH247" s="344"/>
      <c r="BI247" s="344"/>
      <c r="BJ247" s="344"/>
      <c r="BK247" s="344"/>
      <c r="BL247" s="344"/>
      <c r="BO247" s="344"/>
      <c r="BP247" s="344"/>
    </row>
    <row r="248" spans="54:68">
      <c r="BB248" s="794">
        <v>600909</v>
      </c>
      <c r="BC248" s="344" t="str">
        <f t="shared" si="3"/>
        <v>札幌市東区北九条東</v>
      </c>
      <c r="BD248" s="56" t="s">
        <v>573</v>
      </c>
      <c r="BE248" s="303" t="s">
        <v>1318</v>
      </c>
      <c r="BF248" s="344"/>
      <c r="BG248" s="344"/>
      <c r="BH248" s="344"/>
      <c r="BI248" s="344"/>
      <c r="BJ248" s="344"/>
      <c r="BK248" s="344"/>
      <c r="BL248" s="344"/>
      <c r="BO248" s="344"/>
      <c r="BP248" s="344"/>
    </row>
    <row r="249" spans="54:68">
      <c r="BB249" s="794">
        <v>650009</v>
      </c>
      <c r="BC249" s="344" t="str">
        <f t="shared" si="3"/>
        <v>札幌市東区北九条東</v>
      </c>
      <c r="BD249" s="56" t="s">
        <v>573</v>
      </c>
      <c r="BE249" s="303" t="s">
        <v>1318</v>
      </c>
      <c r="BF249" s="344"/>
      <c r="BG249" s="344"/>
      <c r="BH249" s="344"/>
      <c r="BI249" s="344"/>
      <c r="BJ249" s="344"/>
      <c r="BK249" s="344"/>
      <c r="BL249" s="344"/>
      <c r="BO249" s="344"/>
      <c r="BP249" s="344"/>
    </row>
    <row r="250" spans="54:68">
      <c r="BB250" s="794">
        <v>650010</v>
      </c>
      <c r="BC250" s="344" t="str">
        <f t="shared" si="3"/>
        <v>札幌市東区北十条東</v>
      </c>
      <c r="BD250" s="56" t="s">
        <v>573</v>
      </c>
      <c r="BE250" s="303" t="s">
        <v>768</v>
      </c>
      <c r="BF250" s="344"/>
      <c r="BG250" s="344"/>
      <c r="BH250" s="344"/>
      <c r="BI250" s="344"/>
      <c r="BJ250" s="344"/>
      <c r="BK250" s="344"/>
      <c r="BL250" s="344"/>
      <c r="BO250" s="344"/>
      <c r="BP250" s="344"/>
    </row>
    <row r="251" spans="54:68">
      <c r="BB251" s="794">
        <v>650011</v>
      </c>
      <c r="BC251" s="344" t="str">
        <f t="shared" si="3"/>
        <v>札幌市東区北十一条東</v>
      </c>
      <c r="BD251" s="56" t="s">
        <v>573</v>
      </c>
      <c r="BE251" s="303" t="s">
        <v>769</v>
      </c>
      <c r="BF251" s="344"/>
      <c r="BG251" s="344"/>
      <c r="BH251" s="344"/>
      <c r="BI251" s="344"/>
      <c r="BJ251" s="344"/>
      <c r="BK251" s="344"/>
      <c r="BL251" s="344"/>
      <c r="BO251" s="344"/>
      <c r="BP251" s="344"/>
    </row>
    <row r="252" spans="54:68">
      <c r="BB252" s="794">
        <v>650012</v>
      </c>
      <c r="BC252" s="344" t="str">
        <f t="shared" si="3"/>
        <v>札幌市東区北十二条東</v>
      </c>
      <c r="BD252" s="56" t="s">
        <v>573</v>
      </c>
      <c r="BE252" s="303" t="s">
        <v>770</v>
      </c>
      <c r="BF252" s="344"/>
      <c r="BG252" s="344"/>
      <c r="BH252" s="344"/>
      <c r="BI252" s="344"/>
      <c r="BJ252" s="344"/>
      <c r="BK252" s="344"/>
      <c r="BL252" s="344"/>
      <c r="BO252" s="344"/>
      <c r="BP252" s="344"/>
    </row>
    <row r="253" spans="54:68">
      <c r="BB253" s="794">
        <v>650013</v>
      </c>
      <c r="BC253" s="344" t="str">
        <f t="shared" si="3"/>
        <v>札幌市東区北十三条東</v>
      </c>
      <c r="BD253" s="56" t="s">
        <v>573</v>
      </c>
      <c r="BE253" s="303" t="s">
        <v>771</v>
      </c>
      <c r="BF253" s="344"/>
      <c r="BG253" s="344"/>
      <c r="BH253" s="344"/>
      <c r="BI253" s="344"/>
      <c r="BJ253" s="344"/>
      <c r="BK253" s="344"/>
      <c r="BL253" s="344"/>
      <c r="BO253" s="344"/>
      <c r="BP253" s="344"/>
    </row>
    <row r="254" spans="54:68">
      <c r="BB254" s="794">
        <v>650014</v>
      </c>
      <c r="BC254" s="344" t="str">
        <f t="shared" si="3"/>
        <v>札幌市東区北十四条東</v>
      </c>
      <c r="BD254" s="56" t="s">
        <v>573</v>
      </c>
      <c r="BE254" s="303" t="s">
        <v>772</v>
      </c>
      <c r="BF254" s="344"/>
      <c r="BG254" s="344"/>
      <c r="BH254" s="344"/>
      <c r="BI254" s="344"/>
      <c r="BJ254" s="344"/>
      <c r="BK254" s="344"/>
      <c r="BL254" s="344"/>
      <c r="BO254" s="344"/>
      <c r="BP254" s="344"/>
    </row>
    <row r="255" spans="54:68">
      <c r="BB255" s="794">
        <v>650015</v>
      </c>
      <c r="BC255" s="344" t="str">
        <f t="shared" ref="BC255:BC318" si="4">BD255&amp;BE255</f>
        <v>札幌市東区北十五条東</v>
      </c>
      <c r="BD255" s="56" t="s">
        <v>573</v>
      </c>
      <c r="BE255" s="303" t="s">
        <v>773</v>
      </c>
      <c r="BF255" s="344"/>
      <c r="BG255" s="344"/>
      <c r="BH255" s="344"/>
      <c r="BI255" s="344"/>
      <c r="BJ255" s="344"/>
      <c r="BK255" s="344"/>
      <c r="BL255" s="344"/>
      <c r="BO255" s="344"/>
      <c r="BP255" s="344"/>
    </row>
    <row r="256" spans="54:68">
      <c r="BB256" s="794">
        <v>650016</v>
      </c>
      <c r="BC256" s="344" t="str">
        <f t="shared" si="4"/>
        <v>札幌市東区北十六条東</v>
      </c>
      <c r="BD256" s="56" t="s">
        <v>573</v>
      </c>
      <c r="BE256" s="303" t="s">
        <v>774</v>
      </c>
      <c r="BF256" s="344"/>
      <c r="BG256" s="344"/>
      <c r="BH256" s="344"/>
      <c r="BI256" s="344"/>
      <c r="BJ256" s="344"/>
      <c r="BK256" s="344"/>
      <c r="BL256" s="344"/>
      <c r="BO256" s="344"/>
      <c r="BP256" s="344"/>
    </row>
    <row r="257" spans="54:68">
      <c r="BB257" s="794">
        <v>650017</v>
      </c>
      <c r="BC257" s="344" t="str">
        <f t="shared" si="4"/>
        <v>札幌市東区北十七条東</v>
      </c>
      <c r="BD257" s="56" t="s">
        <v>573</v>
      </c>
      <c r="BE257" s="303" t="s">
        <v>775</v>
      </c>
      <c r="BF257" s="344"/>
      <c r="BG257" s="344"/>
      <c r="BH257" s="344"/>
      <c r="BI257" s="344"/>
      <c r="BJ257" s="344"/>
      <c r="BK257" s="344"/>
      <c r="BL257" s="344"/>
      <c r="BO257" s="344"/>
      <c r="BP257" s="344"/>
    </row>
    <row r="258" spans="54:68">
      <c r="BB258" s="794">
        <v>650018</v>
      </c>
      <c r="BC258" s="344" t="str">
        <f t="shared" si="4"/>
        <v>札幌市東区北十八条東</v>
      </c>
      <c r="BD258" s="56" t="s">
        <v>573</v>
      </c>
      <c r="BE258" s="303" t="s">
        <v>776</v>
      </c>
      <c r="BF258" s="344"/>
      <c r="BG258" s="344"/>
      <c r="BH258" s="344"/>
      <c r="BI258" s="344"/>
      <c r="BJ258" s="344"/>
      <c r="BK258" s="344"/>
      <c r="BL258" s="344"/>
      <c r="BO258" s="344"/>
      <c r="BP258" s="344"/>
    </row>
    <row r="259" spans="54:68">
      <c r="BB259" s="794">
        <v>650019</v>
      </c>
      <c r="BC259" s="344" t="str">
        <f t="shared" si="4"/>
        <v>札幌市東区北十九条東</v>
      </c>
      <c r="BD259" s="56" t="s">
        <v>573</v>
      </c>
      <c r="BE259" s="303" t="s">
        <v>777</v>
      </c>
      <c r="BF259" s="344"/>
      <c r="BG259" s="344"/>
      <c r="BH259" s="344"/>
      <c r="BI259" s="344"/>
      <c r="BJ259" s="344"/>
      <c r="BK259" s="344"/>
      <c r="BL259" s="344"/>
      <c r="BO259" s="344"/>
      <c r="BP259" s="344"/>
    </row>
    <row r="260" spans="54:68">
      <c r="BB260" s="794">
        <v>650020</v>
      </c>
      <c r="BC260" s="344" t="str">
        <f t="shared" si="4"/>
        <v>札幌市東区北二十条東</v>
      </c>
      <c r="BD260" s="56" t="s">
        <v>573</v>
      </c>
      <c r="BE260" s="303" t="s">
        <v>778</v>
      </c>
      <c r="BF260" s="344"/>
      <c r="BG260" s="344"/>
      <c r="BH260" s="344"/>
      <c r="BI260" s="344"/>
      <c r="BJ260" s="344"/>
      <c r="BK260" s="344"/>
      <c r="BL260" s="344"/>
      <c r="BO260" s="344"/>
      <c r="BP260" s="344"/>
    </row>
    <row r="261" spans="54:68">
      <c r="BB261" s="794">
        <v>650021</v>
      </c>
      <c r="BC261" s="344" t="str">
        <f t="shared" si="4"/>
        <v>札幌市東区北二十一条東</v>
      </c>
      <c r="BD261" s="56" t="s">
        <v>573</v>
      </c>
      <c r="BE261" s="303" t="s">
        <v>779</v>
      </c>
      <c r="BF261" s="344"/>
      <c r="BG261" s="344"/>
      <c r="BH261" s="344"/>
      <c r="BI261" s="344"/>
      <c r="BJ261" s="344"/>
      <c r="BK261" s="344"/>
      <c r="BL261" s="344"/>
      <c r="BO261" s="344"/>
      <c r="BP261" s="344"/>
    </row>
    <row r="262" spans="54:68">
      <c r="BB262" s="794">
        <v>650022</v>
      </c>
      <c r="BC262" s="344" t="str">
        <f t="shared" si="4"/>
        <v>札幌市東区北二十二条東</v>
      </c>
      <c r="BD262" s="56" t="s">
        <v>573</v>
      </c>
      <c r="BE262" s="303" t="s">
        <v>780</v>
      </c>
      <c r="BF262" s="344"/>
      <c r="BG262" s="344"/>
      <c r="BH262" s="344"/>
      <c r="BI262" s="344"/>
      <c r="BJ262" s="344"/>
      <c r="BK262" s="344"/>
      <c r="BL262" s="344"/>
      <c r="BO262" s="344"/>
      <c r="BP262" s="344"/>
    </row>
    <row r="263" spans="54:68">
      <c r="BB263" s="794">
        <v>650023</v>
      </c>
      <c r="BC263" s="344" t="str">
        <f t="shared" si="4"/>
        <v>札幌市東区北二十三条東</v>
      </c>
      <c r="BD263" s="56" t="s">
        <v>573</v>
      </c>
      <c r="BE263" s="303" t="s">
        <v>781</v>
      </c>
      <c r="BF263" s="344"/>
      <c r="BG263" s="344"/>
      <c r="BH263" s="344"/>
      <c r="BI263" s="344"/>
      <c r="BJ263" s="344"/>
      <c r="BK263" s="344"/>
      <c r="BL263" s="344"/>
      <c r="BO263" s="344"/>
      <c r="BP263" s="344"/>
    </row>
    <row r="264" spans="54:68">
      <c r="BB264" s="794">
        <v>650024</v>
      </c>
      <c r="BC264" s="344" t="str">
        <f t="shared" si="4"/>
        <v>札幌市東区北二十四条東</v>
      </c>
      <c r="BD264" s="56" t="s">
        <v>573</v>
      </c>
      <c r="BE264" s="303" t="s">
        <v>782</v>
      </c>
      <c r="BF264" s="344"/>
      <c r="BG264" s="344"/>
      <c r="BH264" s="344"/>
      <c r="BI264" s="344"/>
      <c r="BJ264" s="344"/>
      <c r="BK264" s="344"/>
      <c r="BL264" s="344"/>
      <c r="BO264" s="344"/>
      <c r="BP264" s="344"/>
    </row>
    <row r="265" spans="54:68">
      <c r="BB265" s="794">
        <v>650025</v>
      </c>
      <c r="BC265" s="344" t="str">
        <f t="shared" si="4"/>
        <v>札幌市東区北二十五条東</v>
      </c>
      <c r="BD265" s="56" t="s">
        <v>573</v>
      </c>
      <c r="BE265" s="303" t="s">
        <v>783</v>
      </c>
      <c r="BF265" s="344"/>
      <c r="BG265" s="344"/>
      <c r="BH265" s="344"/>
      <c r="BI265" s="344"/>
      <c r="BJ265" s="344"/>
      <c r="BK265" s="344"/>
      <c r="BL265" s="344"/>
      <c r="BO265" s="344"/>
      <c r="BP265" s="344"/>
    </row>
    <row r="266" spans="54:68">
      <c r="BB266" s="794">
        <v>650026</v>
      </c>
      <c r="BC266" s="344" t="str">
        <f t="shared" si="4"/>
        <v>札幌市東区北二十六条東</v>
      </c>
      <c r="BD266" s="56" t="s">
        <v>573</v>
      </c>
      <c r="BE266" s="303" t="s">
        <v>784</v>
      </c>
      <c r="BF266" s="344"/>
      <c r="BG266" s="344"/>
      <c r="BH266" s="344"/>
      <c r="BI266" s="344"/>
      <c r="BJ266" s="344"/>
      <c r="BK266" s="344"/>
      <c r="BL266" s="344"/>
      <c r="BO266" s="344"/>
      <c r="BP266" s="344"/>
    </row>
    <row r="267" spans="54:68">
      <c r="BB267" s="794">
        <v>650027</v>
      </c>
      <c r="BC267" s="344" t="str">
        <f t="shared" si="4"/>
        <v>札幌市東区北二十七条東</v>
      </c>
      <c r="BD267" s="56" t="s">
        <v>573</v>
      </c>
      <c r="BE267" s="303" t="s">
        <v>785</v>
      </c>
      <c r="BF267" s="344"/>
      <c r="BG267" s="344"/>
      <c r="BH267" s="344"/>
      <c r="BI267" s="344"/>
      <c r="BJ267" s="344"/>
      <c r="BK267" s="344"/>
      <c r="BL267" s="344"/>
      <c r="BO267" s="344"/>
      <c r="BP267" s="344"/>
    </row>
    <row r="268" spans="54:68">
      <c r="BB268" s="794">
        <v>650028</v>
      </c>
      <c r="BC268" s="344" t="str">
        <f t="shared" si="4"/>
        <v>札幌市東区北二十八条東</v>
      </c>
      <c r="BD268" s="56" t="s">
        <v>573</v>
      </c>
      <c r="BE268" s="303" t="s">
        <v>786</v>
      </c>
      <c r="BF268" s="344"/>
      <c r="BG268" s="344"/>
      <c r="BH268" s="344"/>
      <c r="BI268" s="344"/>
      <c r="BJ268" s="344"/>
      <c r="BK268" s="344"/>
      <c r="BL268" s="344"/>
      <c r="BO268" s="344"/>
      <c r="BP268" s="344"/>
    </row>
    <row r="269" spans="54:68">
      <c r="BB269" s="794">
        <v>650030</v>
      </c>
      <c r="BC269" s="344" t="str">
        <f t="shared" si="4"/>
        <v>札幌市東区北三十条東</v>
      </c>
      <c r="BD269" s="56" t="s">
        <v>573</v>
      </c>
      <c r="BE269" s="303" t="s">
        <v>787</v>
      </c>
      <c r="BF269" s="344"/>
      <c r="BG269" s="344"/>
      <c r="BH269" s="344"/>
      <c r="BI269" s="344"/>
      <c r="BJ269" s="344"/>
      <c r="BK269" s="344"/>
      <c r="BL269" s="344"/>
      <c r="BO269" s="344"/>
      <c r="BP269" s="344"/>
    </row>
    <row r="270" spans="54:68">
      <c r="BB270" s="794">
        <v>650031</v>
      </c>
      <c r="BC270" s="344" t="str">
        <f t="shared" si="4"/>
        <v>札幌市東区北三十一条東</v>
      </c>
      <c r="BD270" s="56" t="s">
        <v>573</v>
      </c>
      <c r="BE270" s="303" t="s">
        <v>788</v>
      </c>
      <c r="BF270" s="344"/>
      <c r="BG270" s="344"/>
      <c r="BH270" s="344"/>
      <c r="BI270" s="344"/>
      <c r="BJ270" s="344"/>
      <c r="BK270" s="344"/>
      <c r="BL270" s="344"/>
      <c r="BO270" s="344"/>
      <c r="BP270" s="344"/>
    </row>
    <row r="271" spans="54:68">
      <c r="BB271" s="794">
        <v>650032</v>
      </c>
      <c r="BC271" s="344" t="str">
        <f t="shared" si="4"/>
        <v>札幌市東区北三十二条東</v>
      </c>
      <c r="BD271" s="56" t="s">
        <v>573</v>
      </c>
      <c r="BE271" s="303" t="s">
        <v>789</v>
      </c>
      <c r="BF271" s="344"/>
      <c r="BG271" s="344"/>
      <c r="BH271" s="344"/>
      <c r="BI271" s="344"/>
      <c r="BJ271" s="344"/>
      <c r="BK271" s="344"/>
      <c r="BL271" s="344"/>
      <c r="BO271" s="344"/>
      <c r="BP271" s="344"/>
    </row>
    <row r="272" spans="54:68">
      <c r="BB272" s="794">
        <v>650033</v>
      </c>
      <c r="BC272" s="344" t="str">
        <f t="shared" si="4"/>
        <v>札幌市東区北三十三条東</v>
      </c>
      <c r="BD272" s="56" t="s">
        <v>573</v>
      </c>
      <c r="BE272" s="303" t="s">
        <v>790</v>
      </c>
      <c r="BF272" s="344"/>
      <c r="BG272" s="344"/>
      <c r="BH272" s="344"/>
      <c r="BI272" s="344"/>
      <c r="BJ272" s="344"/>
      <c r="BK272" s="344"/>
      <c r="BL272" s="344"/>
      <c r="BO272" s="344"/>
      <c r="BP272" s="344"/>
    </row>
    <row r="273" spans="54:68">
      <c r="BB273" s="794">
        <v>70834</v>
      </c>
      <c r="BC273" s="344" t="str">
        <f t="shared" si="4"/>
        <v>札幌市東区北三十四条東</v>
      </c>
      <c r="BD273" s="56" t="s">
        <v>573</v>
      </c>
      <c r="BE273" s="303" t="s">
        <v>791</v>
      </c>
      <c r="BF273" s="344"/>
      <c r="BG273" s="344"/>
      <c r="BH273" s="344"/>
      <c r="BI273" s="344"/>
      <c r="BJ273" s="344"/>
      <c r="BK273" s="344"/>
      <c r="BL273" s="344"/>
      <c r="BO273" s="344"/>
      <c r="BP273" s="344"/>
    </row>
    <row r="274" spans="54:68">
      <c r="BB274" s="794">
        <v>70835</v>
      </c>
      <c r="BC274" s="344" t="str">
        <f t="shared" si="4"/>
        <v>札幌市東区北三十五条東</v>
      </c>
      <c r="BD274" s="56" t="s">
        <v>573</v>
      </c>
      <c r="BE274" s="303" t="s">
        <v>792</v>
      </c>
      <c r="BF274" s="344"/>
      <c r="BG274" s="344"/>
      <c r="BH274" s="344"/>
      <c r="BI274" s="344"/>
      <c r="BJ274" s="344"/>
      <c r="BK274" s="344"/>
      <c r="BL274" s="344"/>
      <c r="BO274" s="344"/>
      <c r="BP274" s="344"/>
    </row>
    <row r="275" spans="54:68">
      <c r="BB275" s="794">
        <v>70836</v>
      </c>
      <c r="BC275" s="344" t="str">
        <f t="shared" si="4"/>
        <v>札幌市東区北三十六条東</v>
      </c>
      <c r="BD275" s="56" t="s">
        <v>573</v>
      </c>
      <c r="BE275" s="303" t="s">
        <v>793</v>
      </c>
      <c r="BF275" s="344"/>
      <c r="BG275" s="344"/>
      <c r="BH275" s="344"/>
      <c r="BI275" s="344"/>
      <c r="BJ275" s="344"/>
      <c r="BK275" s="344"/>
      <c r="BL275" s="344"/>
      <c r="BO275" s="344"/>
      <c r="BP275" s="344"/>
    </row>
    <row r="276" spans="54:68">
      <c r="BB276" s="794">
        <v>70837</v>
      </c>
      <c r="BC276" s="344" t="str">
        <f t="shared" si="4"/>
        <v>札幌市東区北三十七条東</v>
      </c>
      <c r="BD276" s="56" t="s">
        <v>573</v>
      </c>
      <c r="BE276" s="303" t="s">
        <v>794</v>
      </c>
      <c r="BF276" s="344"/>
      <c r="BG276" s="344"/>
      <c r="BH276" s="344"/>
      <c r="BI276" s="344"/>
      <c r="BJ276" s="344"/>
      <c r="BK276" s="344"/>
      <c r="BL276" s="344"/>
      <c r="BO276" s="344"/>
      <c r="BP276" s="344"/>
    </row>
    <row r="277" spans="54:68">
      <c r="BB277" s="794">
        <v>70838</v>
      </c>
      <c r="BC277" s="344" t="str">
        <f t="shared" si="4"/>
        <v>札幌市東区北三十八条東</v>
      </c>
      <c r="BD277" s="56" t="s">
        <v>573</v>
      </c>
      <c r="BE277" s="303" t="s">
        <v>795</v>
      </c>
      <c r="BF277" s="344"/>
      <c r="BG277" s="344"/>
      <c r="BH277" s="344"/>
      <c r="BI277" s="344"/>
      <c r="BJ277" s="344"/>
      <c r="BK277" s="344"/>
      <c r="BL277" s="344"/>
      <c r="BO277" s="344"/>
      <c r="BP277" s="344"/>
    </row>
    <row r="278" spans="54:68">
      <c r="BB278" s="794">
        <v>70839</v>
      </c>
      <c r="BC278" s="344" t="str">
        <f t="shared" si="4"/>
        <v>札幌市東区北三十九条東</v>
      </c>
      <c r="BD278" s="56" t="s">
        <v>573</v>
      </c>
      <c r="BE278" s="303" t="s">
        <v>796</v>
      </c>
      <c r="BF278" s="344"/>
      <c r="BG278" s="344"/>
      <c r="BH278" s="344"/>
      <c r="BI278" s="344"/>
      <c r="BJ278" s="344"/>
      <c r="BK278" s="344"/>
      <c r="BL278" s="344"/>
      <c r="BO278" s="344"/>
      <c r="BP278" s="344"/>
    </row>
    <row r="279" spans="54:68">
      <c r="BB279" s="794">
        <v>70840</v>
      </c>
      <c r="BC279" s="344" t="str">
        <f t="shared" si="4"/>
        <v>札幌市東区北四十条東</v>
      </c>
      <c r="BD279" s="56" t="s">
        <v>573</v>
      </c>
      <c r="BE279" s="303" t="s">
        <v>797</v>
      </c>
      <c r="BF279" s="344"/>
      <c r="BG279" s="344"/>
      <c r="BH279" s="344"/>
      <c r="BI279" s="344"/>
      <c r="BJ279" s="344"/>
      <c r="BK279" s="344"/>
      <c r="BL279" s="344"/>
      <c r="BO279" s="344"/>
      <c r="BP279" s="344"/>
    </row>
    <row r="280" spans="54:68">
      <c r="BB280" s="794">
        <v>70841</v>
      </c>
      <c r="BC280" s="344" t="str">
        <f t="shared" si="4"/>
        <v>札幌市東区北四十一条東</v>
      </c>
      <c r="BD280" s="56" t="s">
        <v>573</v>
      </c>
      <c r="BE280" s="303" t="s">
        <v>798</v>
      </c>
      <c r="BF280" s="344"/>
      <c r="BG280" s="344"/>
      <c r="BH280" s="344"/>
      <c r="BI280" s="344"/>
      <c r="BJ280" s="344"/>
      <c r="BK280" s="344"/>
      <c r="BL280" s="344"/>
      <c r="BO280" s="344"/>
      <c r="BP280" s="344"/>
    </row>
    <row r="281" spans="54:68">
      <c r="BB281" s="794">
        <v>70842</v>
      </c>
      <c r="BC281" s="344" t="str">
        <f t="shared" si="4"/>
        <v>札幌市東区北四十二条東</v>
      </c>
      <c r="BD281" s="56" t="s">
        <v>573</v>
      </c>
      <c r="BE281" s="303" t="s">
        <v>799</v>
      </c>
      <c r="BF281" s="344"/>
      <c r="BG281" s="344"/>
      <c r="BH281" s="344"/>
      <c r="BI281" s="344"/>
      <c r="BJ281" s="344"/>
      <c r="BK281" s="344"/>
      <c r="BL281" s="344"/>
      <c r="BO281" s="344"/>
      <c r="BP281" s="344"/>
    </row>
    <row r="282" spans="54:68">
      <c r="BB282" s="794">
        <v>70843</v>
      </c>
      <c r="BC282" s="344" t="str">
        <f t="shared" si="4"/>
        <v>札幌市東区北四十三条東</v>
      </c>
      <c r="BD282" s="56" t="s">
        <v>573</v>
      </c>
      <c r="BE282" s="303" t="s">
        <v>800</v>
      </c>
      <c r="BF282" s="344"/>
      <c r="BG282" s="344"/>
      <c r="BH282" s="344"/>
      <c r="BI282" s="344"/>
      <c r="BJ282" s="344"/>
      <c r="BK282" s="344"/>
      <c r="BL282" s="344"/>
      <c r="BO282" s="344"/>
      <c r="BP282" s="344"/>
    </row>
    <row r="283" spans="54:68">
      <c r="BB283" s="794">
        <v>70844</v>
      </c>
      <c r="BC283" s="344" t="str">
        <f t="shared" si="4"/>
        <v>札幌市東区北四十四条東</v>
      </c>
      <c r="BD283" s="56" t="s">
        <v>573</v>
      </c>
      <c r="BE283" s="303" t="s">
        <v>801</v>
      </c>
      <c r="BF283" s="344"/>
      <c r="BG283" s="344"/>
      <c r="BH283" s="344"/>
      <c r="BI283" s="344"/>
      <c r="BJ283" s="344"/>
      <c r="BK283" s="344"/>
      <c r="BL283" s="344"/>
      <c r="BO283" s="344"/>
      <c r="BP283" s="344"/>
    </row>
    <row r="284" spans="54:68">
      <c r="BB284" s="794">
        <v>70845</v>
      </c>
      <c r="BC284" s="344" t="str">
        <f t="shared" si="4"/>
        <v>札幌市東区北四十五条東</v>
      </c>
      <c r="BD284" s="56" t="s">
        <v>573</v>
      </c>
      <c r="BE284" s="303" t="s">
        <v>802</v>
      </c>
      <c r="BF284" s="344"/>
      <c r="BG284" s="344"/>
      <c r="BH284" s="344"/>
      <c r="BI284" s="344"/>
      <c r="BJ284" s="344"/>
      <c r="BK284" s="344"/>
      <c r="BL284" s="344"/>
      <c r="BO284" s="344"/>
      <c r="BP284" s="344"/>
    </row>
    <row r="285" spans="54:68">
      <c r="BB285" s="794">
        <v>70846</v>
      </c>
      <c r="BC285" s="344" t="str">
        <f t="shared" si="4"/>
        <v>札幌市東区北四十六条東</v>
      </c>
      <c r="BD285" s="56" t="s">
        <v>573</v>
      </c>
      <c r="BE285" s="303" t="s">
        <v>803</v>
      </c>
      <c r="BF285" s="344"/>
      <c r="BG285" s="344"/>
      <c r="BH285" s="344"/>
      <c r="BI285" s="344"/>
      <c r="BJ285" s="344"/>
      <c r="BK285" s="344"/>
      <c r="BL285" s="344"/>
      <c r="BO285" s="344"/>
      <c r="BP285" s="344"/>
    </row>
    <row r="286" spans="54:68">
      <c r="BB286" s="794">
        <v>70847</v>
      </c>
      <c r="BC286" s="344" t="str">
        <f t="shared" si="4"/>
        <v>札幌市東区北四十七条東</v>
      </c>
      <c r="BD286" s="56" t="s">
        <v>573</v>
      </c>
      <c r="BE286" s="303" t="s">
        <v>804</v>
      </c>
      <c r="BF286" s="344"/>
      <c r="BG286" s="344"/>
      <c r="BH286" s="344"/>
      <c r="BI286" s="344"/>
      <c r="BJ286" s="344"/>
      <c r="BK286" s="344"/>
      <c r="BL286" s="344"/>
      <c r="BO286" s="344"/>
      <c r="BP286" s="344"/>
    </row>
    <row r="287" spans="54:68">
      <c r="BB287" s="794">
        <v>70848</v>
      </c>
      <c r="BC287" s="344" t="str">
        <f t="shared" si="4"/>
        <v>札幌市東区北四十八条東</v>
      </c>
      <c r="BD287" s="56" t="s">
        <v>573</v>
      </c>
      <c r="BE287" s="303" t="s">
        <v>805</v>
      </c>
      <c r="BF287" s="344"/>
      <c r="BG287" s="344"/>
      <c r="BH287" s="344"/>
      <c r="BI287" s="344"/>
      <c r="BJ287" s="344"/>
      <c r="BK287" s="344"/>
      <c r="BL287" s="344"/>
      <c r="BO287" s="344"/>
      <c r="BP287" s="344"/>
    </row>
    <row r="288" spans="54:68">
      <c r="BB288" s="794">
        <v>70849</v>
      </c>
      <c r="BC288" s="344" t="str">
        <f t="shared" si="4"/>
        <v>札幌市東区北四十九条東</v>
      </c>
      <c r="BD288" s="56" t="s">
        <v>573</v>
      </c>
      <c r="BE288" s="303" t="s">
        <v>806</v>
      </c>
      <c r="BF288" s="344"/>
      <c r="BG288" s="344"/>
      <c r="BH288" s="344"/>
      <c r="BI288" s="344"/>
      <c r="BJ288" s="344"/>
      <c r="BK288" s="344"/>
      <c r="BL288" s="344"/>
      <c r="BO288" s="344"/>
      <c r="BP288" s="344"/>
    </row>
    <row r="289" spans="54:68">
      <c r="BB289" s="794">
        <v>70850</v>
      </c>
      <c r="BC289" s="344" t="str">
        <f t="shared" si="4"/>
        <v>札幌市東区北五十条東</v>
      </c>
      <c r="BD289" s="56" t="s">
        <v>573</v>
      </c>
      <c r="BE289" s="303" t="s">
        <v>807</v>
      </c>
      <c r="BF289" s="344"/>
      <c r="BG289" s="344"/>
      <c r="BH289" s="344"/>
      <c r="BI289" s="344"/>
      <c r="BJ289" s="344"/>
      <c r="BK289" s="344"/>
      <c r="BL289" s="344"/>
      <c r="BO289" s="344"/>
      <c r="BP289" s="344"/>
    </row>
    <row r="290" spans="54:68">
      <c r="BB290" s="794">
        <v>70851</v>
      </c>
      <c r="BC290" s="344" t="str">
        <f t="shared" si="4"/>
        <v>札幌市東区北五十一条東</v>
      </c>
      <c r="BD290" s="56" t="s">
        <v>573</v>
      </c>
      <c r="BE290" s="303" t="s">
        <v>808</v>
      </c>
      <c r="BF290" s="344"/>
      <c r="BG290" s="344"/>
      <c r="BH290" s="344"/>
      <c r="BI290" s="344"/>
      <c r="BJ290" s="344"/>
      <c r="BK290" s="344"/>
      <c r="BL290" s="344"/>
      <c r="BO290" s="344"/>
      <c r="BP290" s="344"/>
    </row>
    <row r="291" spans="54:68">
      <c r="BB291" s="794">
        <v>70852</v>
      </c>
      <c r="BC291" s="344" t="str">
        <f t="shared" si="4"/>
        <v>札幌市東区栄町</v>
      </c>
      <c r="BD291" s="56" t="s">
        <v>573</v>
      </c>
      <c r="BE291" s="303" t="s">
        <v>809</v>
      </c>
      <c r="BF291" s="344"/>
      <c r="BG291" s="344"/>
      <c r="BH291" s="344"/>
      <c r="BI291" s="344"/>
      <c r="BJ291" s="344"/>
      <c r="BK291" s="344"/>
      <c r="BL291" s="344"/>
      <c r="BO291" s="344"/>
      <c r="BP291" s="344"/>
    </row>
    <row r="292" spans="54:68">
      <c r="BB292" s="794">
        <v>650043</v>
      </c>
      <c r="BC292" s="344" t="str">
        <f t="shared" si="4"/>
        <v>札幌市東区苗穂町</v>
      </c>
      <c r="BD292" s="56" t="s">
        <v>573</v>
      </c>
      <c r="BE292" s="303" t="s">
        <v>810</v>
      </c>
      <c r="BF292" s="344"/>
      <c r="BG292" s="344"/>
      <c r="BH292" s="344"/>
      <c r="BI292" s="344"/>
      <c r="BJ292" s="344"/>
      <c r="BK292" s="344"/>
      <c r="BL292" s="344"/>
      <c r="BO292" s="344"/>
      <c r="BP292" s="344"/>
    </row>
    <row r="293" spans="54:68">
      <c r="BB293" s="794">
        <v>70001</v>
      </c>
      <c r="BC293" s="344" t="str">
        <f t="shared" si="4"/>
        <v>札幌市東区中沼一条</v>
      </c>
      <c r="BD293" s="56" t="s">
        <v>573</v>
      </c>
      <c r="BE293" s="303" t="s">
        <v>811</v>
      </c>
      <c r="BF293" s="344"/>
      <c r="BG293" s="344"/>
      <c r="BH293" s="344"/>
      <c r="BI293" s="344"/>
      <c r="BJ293" s="344"/>
      <c r="BK293" s="344"/>
      <c r="BL293" s="344"/>
      <c r="BO293" s="344"/>
      <c r="BP293" s="344"/>
    </row>
    <row r="294" spans="54:68">
      <c r="BB294" s="794">
        <v>70002</v>
      </c>
      <c r="BC294" s="344" t="str">
        <f t="shared" si="4"/>
        <v>札幌市東区中沼二条</v>
      </c>
      <c r="BD294" s="56" t="s">
        <v>573</v>
      </c>
      <c r="BE294" s="303" t="s">
        <v>812</v>
      </c>
      <c r="BF294" s="344"/>
      <c r="BG294" s="344"/>
      <c r="BH294" s="344"/>
      <c r="BI294" s="344"/>
      <c r="BJ294" s="344"/>
      <c r="BK294" s="344"/>
      <c r="BL294" s="344"/>
      <c r="BO294" s="344"/>
      <c r="BP294" s="344"/>
    </row>
    <row r="295" spans="54:68">
      <c r="BB295" s="794">
        <v>70003</v>
      </c>
      <c r="BC295" s="344" t="str">
        <f t="shared" si="4"/>
        <v>札幌市東区中沼三条</v>
      </c>
      <c r="BD295" s="56" t="s">
        <v>573</v>
      </c>
      <c r="BE295" s="303" t="s">
        <v>813</v>
      </c>
      <c r="BF295" s="344"/>
      <c r="BG295" s="344"/>
      <c r="BH295" s="344"/>
      <c r="BI295" s="344"/>
      <c r="BJ295" s="344"/>
      <c r="BK295" s="344"/>
      <c r="BL295" s="344"/>
      <c r="BO295" s="344"/>
      <c r="BP295" s="344"/>
    </row>
    <row r="296" spans="54:68">
      <c r="BB296" s="794">
        <v>70004</v>
      </c>
      <c r="BC296" s="344" t="str">
        <f t="shared" si="4"/>
        <v>札幌市東区中沼四条</v>
      </c>
      <c r="BD296" s="56" t="s">
        <v>573</v>
      </c>
      <c r="BE296" s="303" t="s">
        <v>814</v>
      </c>
      <c r="BF296" s="344"/>
      <c r="BG296" s="344"/>
      <c r="BH296" s="344"/>
      <c r="BI296" s="344"/>
      <c r="BJ296" s="344"/>
      <c r="BK296" s="344"/>
      <c r="BL296" s="344"/>
      <c r="BO296" s="344"/>
      <c r="BP296" s="344"/>
    </row>
    <row r="297" spans="54:68">
      <c r="BB297" s="794">
        <v>70005</v>
      </c>
      <c r="BC297" s="344" t="str">
        <f t="shared" si="4"/>
        <v>札幌市東区中沼五条</v>
      </c>
      <c r="BD297" s="56" t="s">
        <v>573</v>
      </c>
      <c r="BE297" s="303" t="s">
        <v>815</v>
      </c>
      <c r="BF297" s="344"/>
      <c r="BG297" s="344"/>
      <c r="BH297" s="344"/>
      <c r="BI297" s="344"/>
      <c r="BJ297" s="344"/>
      <c r="BK297" s="344"/>
      <c r="BL297" s="344"/>
      <c r="BO297" s="344"/>
      <c r="BP297" s="344"/>
    </row>
    <row r="298" spans="54:68">
      <c r="BB298" s="794">
        <v>70006</v>
      </c>
      <c r="BC298" s="344" t="str">
        <f t="shared" si="4"/>
        <v>札幌市東区中沼六条</v>
      </c>
      <c r="BD298" s="56" t="s">
        <v>573</v>
      </c>
      <c r="BE298" s="303" t="s">
        <v>816</v>
      </c>
      <c r="BF298" s="344"/>
      <c r="BG298" s="344"/>
      <c r="BH298" s="344"/>
      <c r="BI298" s="344"/>
      <c r="BJ298" s="344"/>
      <c r="BK298" s="344"/>
      <c r="BL298" s="344"/>
      <c r="BO298" s="344"/>
      <c r="BP298" s="344"/>
    </row>
    <row r="299" spans="54:68">
      <c r="BB299" s="794">
        <v>70890</v>
      </c>
      <c r="BC299" s="344" t="str">
        <f t="shared" si="4"/>
        <v>札幌市東区中沼町</v>
      </c>
      <c r="BD299" s="56" t="s">
        <v>573</v>
      </c>
      <c r="BE299" s="303" t="s">
        <v>817</v>
      </c>
      <c r="BF299" s="344"/>
      <c r="BG299" s="344"/>
      <c r="BH299" s="344"/>
      <c r="BI299" s="344"/>
      <c r="BJ299" s="344"/>
      <c r="BK299" s="344"/>
      <c r="BL299" s="344"/>
      <c r="BO299" s="344"/>
      <c r="BP299" s="344"/>
    </row>
    <row r="300" spans="54:68">
      <c r="BB300" s="794">
        <v>70891</v>
      </c>
      <c r="BC300" s="344" t="str">
        <f t="shared" si="4"/>
        <v>札幌市東区中沼西一条</v>
      </c>
      <c r="BD300" s="56" t="s">
        <v>573</v>
      </c>
      <c r="BE300" s="303" t="s">
        <v>818</v>
      </c>
      <c r="BF300" s="344"/>
      <c r="BG300" s="344"/>
      <c r="BH300" s="344"/>
      <c r="BI300" s="344"/>
      <c r="BJ300" s="344"/>
      <c r="BK300" s="344"/>
      <c r="BL300" s="344"/>
      <c r="BO300" s="344"/>
      <c r="BP300" s="344"/>
    </row>
    <row r="301" spans="54:68">
      <c r="BB301" s="794">
        <v>70892</v>
      </c>
      <c r="BC301" s="344" t="str">
        <f t="shared" si="4"/>
        <v>札幌市東区中沼西二条</v>
      </c>
      <c r="BD301" s="56" t="s">
        <v>573</v>
      </c>
      <c r="BE301" s="303" t="s">
        <v>819</v>
      </c>
      <c r="BF301" s="344"/>
      <c r="BG301" s="344"/>
      <c r="BH301" s="344"/>
      <c r="BI301" s="344"/>
      <c r="BJ301" s="344"/>
      <c r="BK301" s="344"/>
      <c r="BL301" s="344"/>
      <c r="BO301" s="344"/>
      <c r="BP301" s="344"/>
    </row>
    <row r="302" spans="54:68">
      <c r="BB302" s="794">
        <v>70893</v>
      </c>
      <c r="BC302" s="344" t="str">
        <f t="shared" si="4"/>
        <v>札幌市東区中沼西三条</v>
      </c>
      <c r="BD302" s="56" t="s">
        <v>573</v>
      </c>
      <c r="BE302" s="303" t="s">
        <v>820</v>
      </c>
      <c r="BF302" s="344"/>
      <c r="BG302" s="344"/>
      <c r="BH302" s="344"/>
      <c r="BI302" s="344"/>
      <c r="BJ302" s="344"/>
      <c r="BK302" s="344"/>
      <c r="BL302" s="344"/>
      <c r="BO302" s="344"/>
      <c r="BP302" s="344"/>
    </row>
    <row r="303" spans="54:68">
      <c r="BB303" s="794">
        <v>70894</v>
      </c>
      <c r="BC303" s="344" t="str">
        <f t="shared" si="4"/>
        <v>札幌市東区中沼西四条</v>
      </c>
      <c r="BD303" s="56" t="s">
        <v>573</v>
      </c>
      <c r="BE303" s="303" t="s">
        <v>821</v>
      </c>
      <c r="BF303" s="344"/>
      <c r="BG303" s="344"/>
      <c r="BH303" s="344"/>
      <c r="BI303" s="344"/>
      <c r="BJ303" s="344"/>
      <c r="BK303" s="344"/>
      <c r="BL303" s="344"/>
      <c r="BO303" s="344"/>
      <c r="BP303" s="344"/>
    </row>
    <row r="304" spans="54:68">
      <c r="BB304" s="794">
        <v>70895</v>
      </c>
      <c r="BC304" s="344" t="str">
        <f t="shared" si="4"/>
        <v>札幌市東区中沼西五条</v>
      </c>
      <c r="BD304" s="56" t="s">
        <v>573</v>
      </c>
      <c r="BE304" s="303" t="s">
        <v>822</v>
      </c>
      <c r="BF304" s="344"/>
      <c r="BG304" s="344"/>
      <c r="BH304" s="344"/>
      <c r="BI304" s="344"/>
      <c r="BJ304" s="344"/>
      <c r="BK304" s="344"/>
      <c r="BL304" s="344"/>
      <c r="BO304" s="344"/>
      <c r="BP304" s="344"/>
    </row>
    <row r="305" spans="54:68">
      <c r="BB305" s="794">
        <v>70821</v>
      </c>
      <c r="BC305" s="344" t="str">
        <f t="shared" si="4"/>
        <v>札幌市東区東雁来一条</v>
      </c>
      <c r="BD305" s="56" t="s">
        <v>573</v>
      </c>
      <c r="BE305" s="303" t="s">
        <v>823</v>
      </c>
      <c r="BF305" s="344"/>
      <c r="BG305" s="344"/>
      <c r="BH305" s="344"/>
      <c r="BI305" s="344"/>
      <c r="BJ305" s="344"/>
      <c r="BK305" s="344"/>
      <c r="BL305" s="344"/>
      <c r="BO305" s="344"/>
      <c r="BP305" s="344"/>
    </row>
    <row r="306" spans="54:68">
      <c r="BB306" s="794">
        <v>70822</v>
      </c>
      <c r="BC306" s="344" t="str">
        <f t="shared" si="4"/>
        <v>札幌市東区東雁来二条</v>
      </c>
      <c r="BD306" s="56" t="s">
        <v>573</v>
      </c>
      <c r="BE306" s="303" t="s">
        <v>824</v>
      </c>
      <c r="BF306" s="344"/>
      <c r="BG306" s="344"/>
      <c r="BH306" s="344"/>
      <c r="BI306" s="344"/>
      <c r="BJ306" s="344"/>
      <c r="BK306" s="344"/>
      <c r="BL306" s="344"/>
      <c r="BO306" s="344"/>
      <c r="BP306" s="344"/>
    </row>
    <row r="307" spans="54:68">
      <c r="BB307" s="794">
        <v>70823</v>
      </c>
      <c r="BC307" s="344" t="str">
        <f t="shared" si="4"/>
        <v>札幌市東区東雁来三条</v>
      </c>
      <c r="BD307" s="56" t="s">
        <v>573</v>
      </c>
      <c r="BE307" s="303" t="s">
        <v>825</v>
      </c>
      <c r="BF307" s="344"/>
      <c r="BG307" s="344"/>
      <c r="BH307" s="344"/>
      <c r="BI307" s="344"/>
      <c r="BJ307" s="344"/>
      <c r="BK307" s="344"/>
      <c r="BL307" s="344"/>
      <c r="BO307" s="344"/>
      <c r="BP307" s="344"/>
    </row>
    <row r="308" spans="54:68">
      <c r="BB308" s="794">
        <v>70824</v>
      </c>
      <c r="BC308" s="344" t="str">
        <f t="shared" si="4"/>
        <v>札幌市東区東雁来四条</v>
      </c>
      <c r="BD308" s="56" t="s">
        <v>573</v>
      </c>
      <c r="BE308" s="303" t="s">
        <v>826</v>
      </c>
      <c r="BF308" s="344"/>
      <c r="BG308" s="344"/>
      <c r="BH308" s="344"/>
      <c r="BI308" s="344"/>
      <c r="BJ308" s="344"/>
      <c r="BK308" s="344"/>
      <c r="BL308" s="344"/>
      <c r="BO308" s="344"/>
      <c r="BP308" s="344"/>
    </row>
    <row r="309" spans="54:68">
      <c r="BB309" s="794">
        <v>70825</v>
      </c>
      <c r="BC309" s="344" t="str">
        <f t="shared" si="4"/>
        <v>札幌市東区東雁来五条</v>
      </c>
      <c r="BD309" s="56" t="s">
        <v>573</v>
      </c>
      <c r="BE309" s="303" t="s">
        <v>827</v>
      </c>
      <c r="BF309" s="344"/>
      <c r="BG309" s="344"/>
      <c r="BH309" s="344"/>
      <c r="BI309" s="344"/>
      <c r="BJ309" s="344"/>
      <c r="BK309" s="344"/>
      <c r="BL309" s="344"/>
      <c r="BO309" s="344"/>
      <c r="BP309" s="344"/>
    </row>
    <row r="310" spans="54:68">
      <c r="BB310" s="794">
        <v>70826</v>
      </c>
      <c r="BC310" s="344" t="str">
        <f t="shared" si="4"/>
        <v>札幌市東区東雁来六条</v>
      </c>
      <c r="BD310" s="56" t="s">
        <v>573</v>
      </c>
      <c r="BE310" s="303" t="s">
        <v>828</v>
      </c>
      <c r="BF310" s="344"/>
      <c r="BG310" s="344"/>
      <c r="BH310" s="344"/>
      <c r="BI310" s="344"/>
      <c r="BJ310" s="344"/>
      <c r="BK310" s="344"/>
      <c r="BL310" s="344"/>
      <c r="BO310" s="344"/>
      <c r="BP310" s="344"/>
    </row>
    <row r="311" spans="54:68">
      <c r="BB311" s="794">
        <v>70827</v>
      </c>
      <c r="BC311" s="344" t="str">
        <f t="shared" si="4"/>
        <v>札幌市東区東雁来七条</v>
      </c>
      <c r="BD311" s="56" t="s">
        <v>573</v>
      </c>
      <c r="BE311" s="303" t="s">
        <v>829</v>
      </c>
      <c r="BF311" s="344"/>
      <c r="BG311" s="344"/>
      <c r="BH311" s="344"/>
      <c r="BI311" s="344"/>
      <c r="BJ311" s="344"/>
      <c r="BK311" s="344"/>
      <c r="BL311" s="344"/>
      <c r="BO311" s="344"/>
      <c r="BP311" s="344"/>
    </row>
    <row r="312" spans="54:68">
      <c r="BB312" s="794">
        <v>70828</v>
      </c>
      <c r="BC312" s="344" t="str">
        <f t="shared" si="4"/>
        <v>札幌市東区東雁来八条</v>
      </c>
      <c r="BD312" s="56" t="s">
        <v>573</v>
      </c>
      <c r="BE312" s="303" t="s">
        <v>830</v>
      </c>
      <c r="BF312" s="344"/>
      <c r="BG312" s="344"/>
      <c r="BH312" s="344"/>
      <c r="BI312" s="344"/>
      <c r="BJ312" s="344"/>
      <c r="BK312" s="344"/>
      <c r="BL312" s="344"/>
      <c r="BO312" s="344"/>
      <c r="BP312" s="344"/>
    </row>
    <row r="313" spans="54:68">
      <c r="BB313" s="794">
        <v>70829</v>
      </c>
      <c r="BC313" s="344" t="str">
        <f t="shared" si="4"/>
        <v>札幌市東区東雁来九条</v>
      </c>
      <c r="BD313" s="56" t="s">
        <v>573</v>
      </c>
      <c r="BE313" s="303" t="s">
        <v>831</v>
      </c>
      <c r="BF313" s="344"/>
      <c r="BG313" s="344"/>
      <c r="BH313" s="344"/>
      <c r="BI313" s="344"/>
      <c r="BJ313" s="344"/>
      <c r="BK313" s="344"/>
      <c r="BL313" s="344"/>
      <c r="BO313" s="344"/>
      <c r="BP313" s="344"/>
    </row>
    <row r="314" spans="54:68">
      <c r="BB314" s="794">
        <v>70030</v>
      </c>
      <c r="BC314" s="344" t="str">
        <f t="shared" si="4"/>
        <v>札幌市東区東雁来十条</v>
      </c>
      <c r="BD314" s="56" t="s">
        <v>573</v>
      </c>
      <c r="BE314" s="303" t="s">
        <v>832</v>
      </c>
      <c r="BF314" s="344"/>
      <c r="BG314" s="344"/>
      <c r="BH314" s="344"/>
      <c r="BI314" s="344"/>
      <c r="BJ314" s="344"/>
      <c r="BK314" s="344"/>
      <c r="BL314" s="344"/>
      <c r="BO314" s="344"/>
      <c r="BP314" s="344"/>
    </row>
    <row r="315" spans="54:68">
      <c r="BB315" s="794">
        <v>70031</v>
      </c>
      <c r="BC315" s="344" t="str">
        <f t="shared" si="4"/>
        <v>札幌市東区東雁来十一条</v>
      </c>
      <c r="BD315" s="56" t="s">
        <v>573</v>
      </c>
      <c r="BE315" s="303" t="s">
        <v>833</v>
      </c>
      <c r="BF315" s="344"/>
      <c r="BG315" s="344"/>
      <c r="BH315" s="344"/>
      <c r="BI315" s="344"/>
      <c r="BJ315" s="344"/>
      <c r="BK315" s="344"/>
      <c r="BL315" s="344"/>
      <c r="BO315" s="344"/>
      <c r="BP315" s="344"/>
    </row>
    <row r="316" spans="54:68">
      <c r="BB316" s="794">
        <v>70032</v>
      </c>
      <c r="BC316" s="344" t="str">
        <f t="shared" si="4"/>
        <v>札幌市東区東雁来十二条</v>
      </c>
      <c r="BD316" s="56" t="s">
        <v>573</v>
      </c>
      <c r="BE316" s="303" t="s">
        <v>834</v>
      </c>
      <c r="BF316" s="344"/>
      <c r="BG316" s="344"/>
      <c r="BH316" s="344"/>
      <c r="BI316" s="344"/>
      <c r="BJ316" s="344"/>
      <c r="BK316" s="344"/>
      <c r="BL316" s="344"/>
      <c r="BO316" s="344"/>
      <c r="BP316" s="344"/>
    </row>
    <row r="317" spans="54:68">
      <c r="BB317" s="794">
        <v>70033</v>
      </c>
      <c r="BC317" s="344" t="str">
        <f t="shared" si="4"/>
        <v>札幌市東区東雁来十三条</v>
      </c>
      <c r="BD317" s="56" t="s">
        <v>573</v>
      </c>
      <c r="BE317" s="303" t="s">
        <v>835</v>
      </c>
      <c r="BF317" s="344"/>
      <c r="BG317" s="344"/>
      <c r="BH317" s="344"/>
      <c r="BI317" s="344"/>
      <c r="BJ317" s="344"/>
      <c r="BK317" s="344"/>
      <c r="BL317" s="344"/>
      <c r="BO317" s="344"/>
      <c r="BP317" s="344"/>
    </row>
    <row r="318" spans="54:68">
      <c r="BB318" s="794">
        <v>70034</v>
      </c>
      <c r="BC318" s="344" t="str">
        <f t="shared" si="4"/>
        <v>札幌市東区東雁来十四条</v>
      </c>
      <c r="BD318" s="56" t="s">
        <v>573</v>
      </c>
      <c r="BE318" s="303" t="s">
        <v>836</v>
      </c>
      <c r="BF318" s="344"/>
      <c r="BG318" s="344"/>
      <c r="BH318" s="344"/>
      <c r="BI318" s="344"/>
      <c r="BJ318" s="344"/>
      <c r="BK318" s="344"/>
      <c r="BL318" s="344"/>
      <c r="BO318" s="344"/>
      <c r="BP318" s="344"/>
    </row>
    <row r="319" spans="54:68">
      <c r="BB319" s="794">
        <v>70820</v>
      </c>
      <c r="BC319" s="344" t="str">
        <f t="shared" ref="BC319:BC382" si="5">BD319&amp;BE319</f>
        <v>札幌市東区東雁来町</v>
      </c>
      <c r="BD319" s="56" t="s">
        <v>573</v>
      </c>
      <c r="BE319" s="303" t="s">
        <v>837</v>
      </c>
      <c r="BF319" s="344"/>
      <c r="BG319" s="344"/>
      <c r="BH319" s="344"/>
      <c r="BI319" s="344"/>
      <c r="BJ319" s="344"/>
      <c r="BK319" s="344"/>
      <c r="BL319" s="344"/>
      <c r="BO319" s="344"/>
      <c r="BP319" s="344"/>
    </row>
    <row r="320" spans="54:68">
      <c r="BB320" s="794">
        <v>70801</v>
      </c>
      <c r="BC320" s="344" t="str">
        <f t="shared" si="5"/>
        <v>札幌市東区東苗穂一条</v>
      </c>
      <c r="BD320" s="56" t="s">
        <v>573</v>
      </c>
      <c r="BE320" s="303" t="s">
        <v>838</v>
      </c>
      <c r="BF320" s="344"/>
      <c r="BG320" s="344"/>
      <c r="BH320" s="344"/>
      <c r="BI320" s="344"/>
      <c r="BJ320" s="344"/>
      <c r="BK320" s="344"/>
      <c r="BL320" s="344"/>
      <c r="BO320" s="344"/>
      <c r="BP320" s="344"/>
    </row>
    <row r="321" spans="54:68">
      <c r="BB321" s="794">
        <v>70802</v>
      </c>
      <c r="BC321" s="344" t="str">
        <f t="shared" si="5"/>
        <v>札幌市東区東苗穂二条</v>
      </c>
      <c r="BD321" s="56" t="s">
        <v>573</v>
      </c>
      <c r="BE321" s="303" t="s">
        <v>839</v>
      </c>
      <c r="BF321" s="344"/>
      <c r="BG321" s="344"/>
      <c r="BH321" s="344"/>
      <c r="BI321" s="344"/>
      <c r="BJ321" s="344"/>
      <c r="BK321" s="344"/>
      <c r="BL321" s="344"/>
      <c r="BO321" s="344"/>
      <c r="BP321" s="344"/>
    </row>
    <row r="322" spans="54:68">
      <c r="BB322" s="794">
        <v>70803</v>
      </c>
      <c r="BC322" s="344" t="str">
        <f t="shared" si="5"/>
        <v>札幌市東区東苗穂三条</v>
      </c>
      <c r="BD322" s="56" t="s">
        <v>573</v>
      </c>
      <c r="BE322" s="303" t="s">
        <v>840</v>
      </c>
      <c r="BF322" s="344"/>
      <c r="BG322" s="344"/>
      <c r="BH322" s="344"/>
      <c r="BI322" s="344"/>
      <c r="BJ322" s="344"/>
      <c r="BK322" s="344"/>
      <c r="BL322" s="344"/>
      <c r="BO322" s="344"/>
      <c r="BP322" s="344"/>
    </row>
    <row r="323" spans="54:68">
      <c r="BB323" s="794">
        <v>70804</v>
      </c>
      <c r="BC323" s="344" t="str">
        <f t="shared" si="5"/>
        <v>札幌市東区東苗穂四条</v>
      </c>
      <c r="BD323" s="56" t="s">
        <v>573</v>
      </c>
      <c r="BE323" s="303" t="s">
        <v>841</v>
      </c>
      <c r="BF323" s="344"/>
      <c r="BG323" s="344"/>
      <c r="BH323" s="344"/>
      <c r="BI323" s="344"/>
      <c r="BJ323" s="344"/>
      <c r="BK323" s="344"/>
      <c r="BL323" s="344"/>
      <c r="BO323" s="344"/>
      <c r="BP323" s="344"/>
    </row>
    <row r="324" spans="54:68">
      <c r="BB324" s="794">
        <v>70805</v>
      </c>
      <c r="BC324" s="344" t="str">
        <f t="shared" si="5"/>
        <v>札幌市東区東苗穂五条</v>
      </c>
      <c r="BD324" s="56" t="s">
        <v>573</v>
      </c>
      <c r="BE324" s="303" t="s">
        <v>842</v>
      </c>
      <c r="BF324" s="344"/>
      <c r="BG324" s="344"/>
      <c r="BH324" s="344"/>
      <c r="BI324" s="344"/>
      <c r="BJ324" s="344"/>
      <c r="BK324" s="344"/>
      <c r="BL324" s="344"/>
      <c r="BO324" s="344"/>
      <c r="BP324" s="344"/>
    </row>
    <row r="325" spans="54:68">
      <c r="BB325" s="794">
        <v>70806</v>
      </c>
      <c r="BC325" s="344" t="str">
        <f t="shared" si="5"/>
        <v>札幌市東区東苗穂六条</v>
      </c>
      <c r="BD325" s="56" t="s">
        <v>573</v>
      </c>
      <c r="BE325" s="303" t="s">
        <v>843</v>
      </c>
      <c r="BF325" s="344"/>
      <c r="BG325" s="344"/>
      <c r="BH325" s="344"/>
      <c r="BI325" s="344"/>
      <c r="BJ325" s="344"/>
      <c r="BK325" s="344"/>
      <c r="BL325" s="344"/>
      <c r="BO325" s="344"/>
      <c r="BP325" s="344"/>
    </row>
    <row r="326" spans="54:68">
      <c r="BB326" s="794">
        <v>70807</v>
      </c>
      <c r="BC326" s="344" t="str">
        <f t="shared" si="5"/>
        <v>札幌市東区東苗穂七条</v>
      </c>
      <c r="BD326" s="56" t="s">
        <v>573</v>
      </c>
      <c r="BE326" s="303" t="s">
        <v>844</v>
      </c>
      <c r="BF326" s="344"/>
      <c r="BG326" s="344"/>
      <c r="BH326" s="344"/>
      <c r="BI326" s="344"/>
      <c r="BJ326" s="344"/>
      <c r="BK326" s="344"/>
      <c r="BL326" s="344"/>
      <c r="BO326" s="344"/>
      <c r="BP326" s="344"/>
    </row>
    <row r="327" spans="54:68">
      <c r="BB327" s="794">
        <v>70808</v>
      </c>
      <c r="BC327" s="344" t="str">
        <f t="shared" si="5"/>
        <v>札幌市東区東苗穂八条</v>
      </c>
      <c r="BD327" s="56" t="s">
        <v>573</v>
      </c>
      <c r="BE327" s="303" t="s">
        <v>845</v>
      </c>
      <c r="BF327" s="344"/>
      <c r="BG327" s="344"/>
      <c r="BH327" s="344"/>
      <c r="BI327" s="344"/>
      <c r="BJ327" s="344"/>
      <c r="BK327" s="344"/>
      <c r="BL327" s="344"/>
      <c r="BO327" s="344"/>
      <c r="BP327" s="344"/>
    </row>
    <row r="328" spans="54:68">
      <c r="BB328" s="794">
        <v>70809</v>
      </c>
      <c r="BC328" s="344" t="str">
        <f t="shared" si="5"/>
        <v>札幌市東区東苗穂九条</v>
      </c>
      <c r="BD328" s="56" t="s">
        <v>573</v>
      </c>
      <c r="BE328" s="303" t="s">
        <v>846</v>
      </c>
      <c r="BF328" s="344"/>
      <c r="BG328" s="344"/>
      <c r="BH328" s="344"/>
      <c r="BI328" s="344"/>
      <c r="BJ328" s="344"/>
      <c r="BK328" s="344"/>
      <c r="BL328" s="344"/>
      <c r="BO328" s="344"/>
      <c r="BP328" s="344"/>
    </row>
    <row r="329" spans="54:68">
      <c r="BB329" s="794">
        <v>70810</v>
      </c>
      <c r="BC329" s="344" t="str">
        <f t="shared" si="5"/>
        <v>札幌市東区東苗穂十条</v>
      </c>
      <c r="BD329" s="56" t="s">
        <v>573</v>
      </c>
      <c r="BE329" s="303" t="s">
        <v>847</v>
      </c>
      <c r="BF329" s="344"/>
      <c r="BG329" s="344"/>
      <c r="BH329" s="344"/>
      <c r="BI329" s="344"/>
      <c r="BJ329" s="344"/>
      <c r="BK329" s="344"/>
      <c r="BL329" s="344"/>
      <c r="BO329" s="344"/>
      <c r="BP329" s="344"/>
    </row>
    <row r="330" spans="54:68">
      <c r="BB330" s="794">
        <v>70811</v>
      </c>
      <c r="BC330" s="344" t="str">
        <f t="shared" si="5"/>
        <v>札幌市東区東苗穂十一条</v>
      </c>
      <c r="BD330" s="56" t="s">
        <v>573</v>
      </c>
      <c r="BE330" s="303" t="s">
        <v>848</v>
      </c>
      <c r="BF330" s="344"/>
      <c r="BG330" s="344"/>
      <c r="BH330" s="344"/>
      <c r="BI330" s="344"/>
      <c r="BJ330" s="344"/>
      <c r="BK330" s="344"/>
      <c r="BL330" s="344"/>
      <c r="BO330" s="344"/>
      <c r="BP330" s="344"/>
    </row>
    <row r="331" spans="54:68">
      <c r="BB331" s="794">
        <v>70812</v>
      </c>
      <c r="BC331" s="344" t="str">
        <f t="shared" si="5"/>
        <v>札幌市東区東苗穂十二条</v>
      </c>
      <c r="BD331" s="56" t="s">
        <v>573</v>
      </c>
      <c r="BE331" s="303" t="s">
        <v>849</v>
      </c>
      <c r="BF331" s="344"/>
      <c r="BG331" s="344"/>
      <c r="BH331" s="344"/>
      <c r="BI331" s="344"/>
      <c r="BJ331" s="344"/>
      <c r="BK331" s="344"/>
      <c r="BL331" s="344"/>
      <c r="BO331" s="344"/>
      <c r="BP331" s="344"/>
    </row>
    <row r="332" spans="54:68">
      <c r="BB332" s="794">
        <v>70813</v>
      </c>
      <c r="BC332" s="344" t="str">
        <f t="shared" si="5"/>
        <v>札幌市東区東苗穂十三条</v>
      </c>
      <c r="BD332" s="56" t="s">
        <v>573</v>
      </c>
      <c r="BE332" s="303" t="s">
        <v>850</v>
      </c>
      <c r="BF332" s="344"/>
      <c r="BG332" s="344"/>
      <c r="BH332" s="344"/>
      <c r="BI332" s="344"/>
      <c r="BJ332" s="344"/>
      <c r="BK332" s="344"/>
      <c r="BL332" s="344"/>
      <c r="BO332" s="344"/>
      <c r="BP332" s="344"/>
    </row>
    <row r="333" spans="54:68">
      <c r="BB333" s="794">
        <v>70814</v>
      </c>
      <c r="BC333" s="344" t="str">
        <f t="shared" si="5"/>
        <v>札幌市東区東苗穂十四条</v>
      </c>
      <c r="BD333" s="56" t="s">
        <v>573</v>
      </c>
      <c r="BE333" s="303" t="s">
        <v>851</v>
      </c>
      <c r="BF333" s="344"/>
      <c r="BG333" s="344"/>
      <c r="BH333" s="344"/>
      <c r="BI333" s="344"/>
      <c r="BJ333" s="344"/>
      <c r="BK333" s="344"/>
      <c r="BL333" s="344"/>
      <c r="BO333" s="344"/>
      <c r="BP333" s="344"/>
    </row>
    <row r="334" spans="54:68">
      <c r="BB334" s="794">
        <v>70815</v>
      </c>
      <c r="BC334" s="344" t="str">
        <f t="shared" si="5"/>
        <v>札幌市東区東苗穂十五条</v>
      </c>
      <c r="BD334" s="56" t="s">
        <v>573</v>
      </c>
      <c r="BE334" s="303" t="s">
        <v>852</v>
      </c>
      <c r="BF334" s="344"/>
      <c r="BG334" s="344"/>
      <c r="BH334" s="344"/>
      <c r="BI334" s="344"/>
      <c r="BJ334" s="344"/>
      <c r="BK334" s="344"/>
      <c r="BL334" s="344"/>
      <c r="BO334" s="344"/>
      <c r="BP334" s="344"/>
    </row>
    <row r="335" spans="54:68">
      <c r="BB335" s="794">
        <v>70819</v>
      </c>
      <c r="BC335" s="344" t="str">
        <f t="shared" si="5"/>
        <v>札幌市東区東苗穂町</v>
      </c>
      <c r="BD335" s="56" t="s">
        <v>573</v>
      </c>
      <c r="BE335" s="303" t="s">
        <v>853</v>
      </c>
      <c r="BF335" s="344"/>
      <c r="BG335" s="344"/>
      <c r="BH335" s="344"/>
      <c r="BI335" s="344"/>
      <c r="BJ335" s="344"/>
      <c r="BK335" s="344"/>
      <c r="BL335" s="344"/>
      <c r="BO335" s="344"/>
      <c r="BP335" s="344"/>
    </row>
    <row r="336" spans="54:68">
      <c r="BB336" s="794">
        <v>70861</v>
      </c>
      <c r="BC336" s="344" t="str">
        <f t="shared" si="5"/>
        <v>札幌市東区伏古一条</v>
      </c>
      <c r="BD336" s="56" t="s">
        <v>573</v>
      </c>
      <c r="BE336" s="303" t="s">
        <v>854</v>
      </c>
      <c r="BF336" s="344"/>
      <c r="BG336" s="344"/>
      <c r="BH336" s="344"/>
      <c r="BI336" s="344"/>
      <c r="BJ336" s="344"/>
      <c r="BK336" s="344"/>
      <c r="BL336" s="344"/>
      <c r="BO336" s="344"/>
      <c r="BP336" s="344"/>
    </row>
    <row r="337" spans="54:68">
      <c r="BB337" s="794">
        <v>70862</v>
      </c>
      <c r="BC337" s="344" t="str">
        <f t="shared" si="5"/>
        <v>札幌市東区伏古二条</v>
      </c>
      <c r="BD337" s="56" t="s">
        <v>573</v>
      </c>
      <c r="BE337" s="303" t="s">
        <v>855</v>
      </c>
      <c r="BF337" s="344"/>
      <c r="BG337" s="344"/>
      <c r="BH337" s="344"/>
      <c r="BI337" s="344"/>
      <c r="BJ337" s="344"/>
      <c r="BK337" s="344"/>
      <c r="BL337" s="344"/>
      <c r="BO337" s="344"/>
      <c r="BP337" s="344"/>
    </row>
    <row r="338" spans="54:68">
      <c r="BB338" s="794">
        <v>70863</v>
      </c>
      <c r="BC338" s="344" t="str">
        <f t="shared" si="5"/>
        <v>札幌市東区伏古三条</v>
      </c>
      <c r="BD338" s="56" t="s">
        <v>573</v>
      </c>
      <c r="BE338" s="303" t="s">
        <v>856</v>
      </c>
      <c r="BF338" s="344"/>
      <c r="BG338" s="344"/>
      <c r="BH338" s="344"/>
      <c r="BI338" s="344"/>
      <c r="BJ338" s="344"/>
      <c r="BK338" s="344"/>
      <c r="BL338" s="344"/>
      <c r="BO338" s="344"/>
      <c r="BP338" s="344"/>
    </row>
    <row r="339" spans="54:68">
      <c r="BB339" s="794">
        <v>70864</v>
      </c>
      <c r="BC339" s="344" t="str">
        <f t="shared" si="5"/>
        <v>札幌市東区伏古四条</v>
      </c>
      <c r="BD339" s="56" t="s">
        <v>573</v>
      </c>
      <c r="BE339" s="303" t="s">
        <v>857</v>
      </c>
      <c r="BF339" s="344"/>
      <c r="BG339" s="344"/>
      <c r="BH339" s="344"/>
      <c r="BI339" s="344"/>
      <c r="BJ339" s="344"/>
      <c r="BK339" s="344"/>
      <c r="BL339" s="344"/>
      <c r="BO339" s="344"/>
      <c r="BP339" s="344"/>
    </row>
    <row r="340" spans="54:68">
      <c r="BB340" s="794">
        <v>70865</v>
      </c>
      <c r="BC340" s="344" t="str">
        <f t="shared" si="5"/>
        <v>札幌市東区伏古五条</v>
      </c>
      <c r="BD340" s="56" t="s">
        <v>573</v>
      </c>
      <c r="BE340" s="303" t="s">
        <v>858</v>
      </c>
      <c r="BF340" s="344"/>
      <c r="BG340" s="344"/>
      <c r="BH340" s="344"/>
      <c r="BI340" s="344"/>
      <c r="BJ340" s="344"/>
      <c r="BK340" s="344"/>
      <c r="BL340" s="344"/>
      <c r="BO340" s="344"/>
      <c r="BP340" s="344"/>
    </row>
    <row r="341" spans="54:68">
      <c r="BB341" s="794">
        <v>70866</v>
      </c>
      <c r="BC341" s="344" t="str">
        <f t="shared" si="5"/>
        <v>札幌市東区伏古六条</v>
      </c>
      <c r="BD341" s="56" t="s">
        <v>573</v>
      </c>
      <c r="BE341" s="303" t="s">
        <v>859</v>
      </c>
      <c r="BF341" s="344"/>
      <c r="BG341" s="344"/>
      <c r="BH341" s="344"/>
      <c r="BI341" s="344"/>
      <c r="BJ341" s="344"/>
      <c r="BK341" s="344"/>
      <c r="BL341" s="344"/>
      <c r="BO341" s="344"/>
      <c r="BP341" s="344"/>
    </row>
    <row r="342" spans="54:68">
      <c r="BB342" s="794">
        <v>70867</v>
      </c>
      <c r="BC342" s="344" t="str">
        <f t="shared" si="5"/>
        <v>札幌市東区伏古七条</v>
      </c>
      <c r="BD342" s="56" t="s">
        <v>573</v>
      </c>
      <c r="BE342" s="303" t="s">
        <v>860</v>
      </c>
      <c r="BF342" s="344"/>
      <c r="BG342" s="344"/>
      <c r="BH342" s="344"/>
      <c r="BI342" s="344"/>
      <c r="BJ342" s="344"/>
      <c r="BK342" s="344"/>
      <c r="BL342" s="344"/>
      <c r="BO342" s="344"/>
      <c r="BP342" s="344"/>
    </row>
    <row r="343" spans="54:68">
      <c r="BB343" s="794">
        <v>70868</v>
      </c>
      <c r="BC343" s="344" t="str">
        <f t="shared" si="5"/>
        <v>札幌市東区伏古八条</v>
      </c>
      <c r="BD343" s="56" t="s">
        <v>573</v>
      </c>
      <c r="BE343" s="303" t="s">
        <v>861</v>
      </c>
      <c r="BF343" s="344"/>
      <c r="BG343" s="344"/>
      <c r="BH343" s="344"/>
      <c r="BI343" s="344"/>
      <c r="BJ343" s="344"/>
      <c r="BK343" s="344"/>
      <c r="BL343" s="344"/>
      <c r="BO343" s="344"/>
      <c r="BP343" s="344"/>
    </row>
    <row r="344" spans="54:68">
      <c r="BB344" s="794">
        <v>70869</v>
      </c>
      <c r="BC344" s="344" t="str">
        <f t="shared" si="5"/>
        <v>札幌市東区伏古九条</v>
      </c>
      <c r="BD344" s="56" t="s">
        <v>573</v>
      </c>
      <c r="BE344" s="303" t="s">
        <v>862</v>
      </c>
      <c r="BF344" s="344"/>
      <c r="BG344" s="344"/>
      <c r="BH344" s="344"/>
      <c r="BI344" s="344"/>
      <c r="BJ344" s="344"/>
      <c r="BK344" s="344"/>
      <c r="BL344" s="344"/>
      <c r="BO344" s="344"/>
      <c r="BP344" s="344"/>
    </row>
    <row r="345" spans="54:68">
      <c r="BB345" s="794">
        <v>70870</v>
      </c>
      <c r="BC345" s="344" t="str">
        <f t="shared" si="5"/>
        <v>札幌市東区伏古十条</v>
      </c>
      <c r="BD345" s="56" t="s">
        <v>573</v>
      </c>
      <c r="BE345" s="303" t="s">
        <v>863</v>
      </c>
      <c r="BF345" s="344"/>
      <c r="BG345" s="344"/>
      <c r="BH345" s="344"/>
      <c r="BI345" s="344"/>
      <c r="BJ345" s="344"/>
      <c r="BK345" s="344"/>
      <c r="BL345" s="344"/>
      <c r="BO345" s="344"/>
      <c r="BP345" s="344"/>
    </row>
    <row r="346" spans="54:68">
      <c r="BB346" s="794">
        <v>70871</v>
      </c>
      <c r="BC346" s="344" t="str">
        <f t="shared" si="5"/>
        <v>札幌市東区伏古十一条</v>
      </c>
      <c r="BD346" s="56" t="s">
        <v>573</v>
      </c>
      <c r="BE346" s="303" t="s">
        <v>864</v>
      </c>
      <c r="BF346" s="344"/>
      <c r="BG346" s="344"/>
      <c r="BH346" s="344"/>
      <c r="BI346" s="344"/>
      <c r="BJ346" s="344"/>
      <c r="BK346" s="344"/>
      <c r="BL346" s="344"/>
      <c r="BO346" s="344"/>
      <c r="BP346" s="344"/>
    </row>
    <row r="347" spans="54:68">
      <c r="BB347" s="794">
        <v>70872</v>
      </c>
      <c r="BC347" s="344" t="str">
        <f t="shared" si="5"/>
        <v>札幌市東区伏古十二条</v>
      </c>
      <c r="BD347" s="56" t="s">
        <v>573</v>
      </c>
      <c r="BE347" s="303" t="s">
        <v>865</v>
      </c>
      <c r="BF347" s="344"/>
      <c r="BG347" s="344"/>
      <c r="BH347" s="344"/>
      <c r="BI347" s="344"/>
      <c r="BJ347" s="344"/>
      <c r="BK347" s="344"/>
      <c r="BL347" s="344"/>
      <c r="BO347" s="344"/>
      <c r="BP347" s="344"/>
    </row>
    <row r="348" spans="54:68">
      <c r="BB348" s="794">
        <v>70873</v>
      </c>
      <c r="BC348" s="344" t="str">
        <f t="shared" si="5"/>
        <v>札幌市東区伏古十三条</v>
      </c>
      <c r="BD348" s="56" t="s">
        <v>573</v>
      </c>
      <c r="BE348" s="303" t="s">
        <v>866</v>
      </c>
      <c r="BF348" s="344"/>
      <c r="BG348" s="344"/>
      <c r="BH348" s="344"/>
      <c r="BI348" s="344"/>
      <c r="BJ348" s="344"/>
      <c r="BK348" s="344"/>
      <c r="BL348" s="344"/>
      <c r="BO348" s="344"/>
      <c r="BP348" s="344"/>
    </row>
    <row r="349" spans="54:68">
      <c r="BB349" s="794">
        <v>70874</v>
      </c>
      <c r="BC349" s="344" t="str">
        <f t="shared" si="5"/>
        <v>札幌市東区伏古十四条</v>
      </c>
      <c r="BD349" s="56" t="s">
        <v>573</v>
      </c>
      <c r="BE349" s="303" t="s">
        <v>867</v>
      </c>
      <c r="BF349" s="344"/>
      <c r="BG349" s="344"/>
      <c r="BH349" s="344"/>
      <c r="BI349" s="344"/>
      <c r="BJ349" s="344"/>
      <c r="BK349" s="344"/>
      <c r="BL349" s="344"/>
      <c r="BO349" s="344"/>
      <c r="BP349" s="344"/>
    </row>
    <row r="350" spans="54:68">
      <c r="BB350" s="794">
        <v>650041</v>
      </c>
      <c r="BC350" s="344" t="str">
        <f t="shared" si="5"/>
        <v>札幌市東区本町一条</v>
      </c>
      <c r="BD350" s="56" t="s">
        <v>573</v>
      </c>
      <c r="BE350" s="303" t="s">
        <v>868</v>
      </c>
      <c r="BF350" s="344"/>
      <c r="BG350" s="344"/>
      <c r="BH350" s="344"/>
      <c r="BI350" s="344"/>
      <c r="BJ350" s="344"/>
      <c r="BK350" s="344"/>
      <c r="BL350" s="344"/>
      <c r="BO350" s="344"/>
      <c r="BP350" s="344"/>
    </row>
    <row r="351" spans="54:68">
      <c r="BB351" s="794">
        <v>650042</v>
      </c>
      <c r="BC351" s="344" t="str">
        <f t="shared" si="5"/>
        <v>札幌市東区本町二条</v>
      </c>
      <c r="BD351" s="56" t="s">
        <v>573</v>
      </c>
      <c r="BE351" s="303" t="s">
        <v>869</v>
      </c>
      <c r="BF351" s="344"/>
      <c r="BG351" s="344"/>
      <c r="BH351" s="344"/>
      <c r="BI351" s="344"/>
      <c r="BJ351" s="344"/>
      <c r="BK351" s="344"/>
      <c r="BL351" s="344"/>
      <c r="BO351" s="344"/>
      <c r="BP351" s="344"/>
    </row>
    <row r="352" spans="54:68">
      <c r="BB352" s="794">
        <v>70011</v>
      </c>
      <c r="BC352" s="344" t="str">
        <f t="shared" si="5"/>
        <v>札幌市東区モエレ沼公園</v>
      </c>
      <c r="BD352" s="56" t="s">
        <v>573</v>
      </c>
      <c r="BE352" s="303" t="s">
        <v>870</v>
      </c>
      <c r="BF352" s="344"/>
      <c r="BG352" s="344"/>
      <c r="BH352" s="344"/>
      <c r="BI352" s="344"/>
      <c r="BJ352" s="344"/>
      <c r="BK352" s="344"/>
      <c r="BL352" s="344"/>
      <c r="BO352" s="344"/>
      <c r="BP352" s="344"/>
    </row>
    <row r="353" spans="54:68">
      <c r="BB353" s="794">
        <v>30000</v>
      </c>
      <c r="BC353" s="344" t="str">
        <f t="shared" si="5"/>
        <v>札幌市白石区</v>
      </c>
      <c r="BD353" s="56" t="s">
        <v>574</v>
      </c>
      <c r="BE353" s="303"/>
      <c r="BF353" s="344"/>
      <c r="BG353" s="344"/>
      <c r="BH353" s="344"/>
      <c r="BI353" s="344"/>
      <c r="BJ353" s="344"/>
      <c r="BK353" s="344"/>
      <c r="BL353" s="344"/>
      <c r="BO353" s="344"/>
      <c r="BP353" s="344"/>
    </row>
    <row r="354" spans="54:68">
      <c r="BB354" s="794">
        <v>30851</v>
      </c>
      <c r="BC354" s="344" t="str">
        <f t="shared" si="5"/>
        <v>札幌市白石区川北一条</v>
      </c>
      <c r="BD354" s="56" t="s">
        <v>574</v>
      </c>
      <c r="BE354" s="303" t="s">
        <v>871</v>
      </c>
      <c r="BF354" s="344"/>
      <c r="BG354" s="344"/>
      <c r="BH354" s="344"/>
      <c r="BI354" s="344"/>
      <c r="BJ354" s="344"/>
      <c r="BK354" s="344"/>
      <c r="BL354" s="344"/>
      <c r="BO354" s="344"/>
      <c r="BP354" s="344"/>
    </row>
    <row r="355" spans="54:68">
      <c r="BB355" s="794">
        <v>30852</v>
      </c>
      <c r="BC355" s="344" t="str">
        <f t="shared" si="5"/>
        <v>札幌市白石区川北二条</v>
      </c>
      <c r="BD355" s="56" t="s">
        <v>574</v>
      </c>
      <c r="BE355" s="303" t="s">
        <v>872</v>
      </c>
      <c r="BF355" s="344"/>
      <c r="BG355" s="344"/>
      <c r="BH355" s="344"/>
      <c r="BI355" s="344"/>
      <c r="BJ355" s="344"/>
      <c r="BK355" s="344"/>
      <c r="BL355" s="344"/>
      <c r="BO355" s="344"/>
      <c r="BP355" s="344"/>
    </row>
    <row r="356" spans="54:68">
      <c r="BB356" s="794">
        <v>30853</v>
      </c>
      <c r="BC356" s="344" t="str">
        <f t="shared" si="5"/>
        <v>札幌市白石区川北三条</v>
      </c>
      <c r="BD356" s="56" t="s">
        <v>574</v>
      </c>
      <c r="BE356" s="303" t="s">
        <v>873</v>
      </c>
      <c r="BF356" s="344"/>
      <c r="BG356" s="344"/>
      <c r="BH356" s="344"/>
      <c r="BI356" s="344"/>
      <c r="BJ356" s="344"/>
      <c r="BK356" s="344"/>
      <c r="BL356" s="344"/>
      <c r="BO356" s="344"/>
      <c r="BP356" s="344"/>
    </row>
    <row r="357" spans="54:68">
      <c r="BB357" s="794">
        <v>30854</v>
      </c>
      <c r="BC357" s="344" t="str">
        <f t="shared" si="5"/>
        <v>札幌市白石区川北四条</v>
      </c>
      <c r="BD357" s="56" t="s">
        <v>574</v>
      </c>
      <c r="BE357" s="303" t="s">
        <v>874</v>
      </c>
      <c r="BF357" s="344"/>
      <c r="BG357" s="344"/>
      <c r="BH357" s="344"/>
      <c r="BI357" s="344"/>
      <c r="BJ357" s="344"/>
      <c r="BK357" s="344"/>
      <c r="BL357" s="344"/>
      <c r="BO357" s="344"/>
      <c r="BP357" s="344"/>
    </row>
    <row r="358" spans="54:68">
      <c r="BB358" s="794">
        <v>30855</v>
      </c>
      <c r="BC358" s="344" t="str">
        <f t="shared" si="5"/>
        <v>札幌市白石区川北五条</v>
      </c>
      <c r="BD358" s="56" t="s">
        <v>574</v>
      </c>
      <c r="BE358" s="303" t="s">
        <v>875</v>
      </c>
      <c r="BF358" s="344"/>
      <c r="BG358" s="344"/>
      <c r="BH358" s="344"/>
      <c r="BI358" s="344"/>
      <c r="BJ358" s="344"/>
      <c r="BK358" s="344"/>
      <c r="BL358" s="344"/>
      <c r="BO358" s="344"/>
      <c r="BP358" s="344"/>
    </row>
    <row r="359" spans="54:68">
      <c r="BB359" s="794">
        <v>30869</v>
      </c>
      <c r="BC359" s="344" t="str">
        <f t="shared" si="5"/>
        <v>札幌市白石区川下</v>
      </c>
      <c r="BD359" s="56" t="s">
        <v>574</v>
      </c>
      <c r="BE359" s="303" t="s">
        <v>876</v>
      </c>
      <c r="BF359" s="344"/>
      <c r="BG359" s="344"/>
      <c r="BH359" s="344"/>
      <c r="BI359" s="344"/>
      <c r="BJ359" s="344"/>
      <c r="BK359" s="344"/>
      <c r="BL359" s="344"/>
      <c r="BO359" s="344"/>
      <c r="BP359" s="344"/>
    </row>
    <row r="360" spans="54:68">
      <c r="BB360" s="794">
        <v>30861</v>
      </c>
      <c r="BC360" s="344" t="str">
        <f t="shared" si="5"/>
        <v>札幌市白石区川下一条</v>
      </c>
      <c r="BD360" s="56" t="s">
        <v>574</v>
      </c>
      <c r="BE360" s="303" t="s">
        <v>877</v>
      </c>
      <c r="BF360" s="344"/>
      <c r="BG360" s="344"/>
      <c r="BH360" s="344"/>
      <c r="BI360" s="344"/>
      <c r="BJ360" s="344"/>
      <c r="BK360" s="344"/>
      <c r="BL360" s="344"/>
      <c r="BO360" s="344"/>
      <c r="BP360" s="344"/>
    </row>
    <row r="361" spans="54:68">
      <c r="BB361" s="794">
        <v>30862</v>
      </c>
      <c r="BC361" s="344" t="str">
        <f t="shared" si="5"/>
        <v>札幌市白石区川下二条</v>
      </c>
      <c r="BD361" s="56" t="s">
        <v>574</v>
      </c>
      <c r="BE361" s="303" t="s">
        <v>878</v>
      </c>
      <c r="BF361" s="344"/>
      <c r="BG361" s="344"/>
      <c r="BH361" s="344"/>
      <c r="BI361" s="344"/>
      <c r="BJ361" s="344"/>
      <c r="BK361" s="344"/>
      <c r="BL361" s="344"/>
      <c r="BO361" s="344"/>
      <c r="BP361" s="344"/>
    </row>
    <row r="362" spans="54:68">
      <c r="BB362" s="794">
        <v>30863</v>
      </c>
      <c r="BC362" s="344" t="str">
        <f t="shared" si="5"/>
        <v>札幌市白石区川下三条</v>
      </c>
      <c r="BD362" s="56" t="s">
        <v>574</v>
      </c>
      <c r="BE362" s="303" t="s">
        <v>879</v>
      </c>
      <c r="BF362" s="344"/>
      <c r="BG362" s="344"/>
      <c r="BH362" s="344"/>
      <c r="BI362" s="344"/>
      <c r="BJ362" s="344"/>
      <c r="BK362" s="344"/>
      <c r="BL362" s="344"/>
      <c r="BO362" s="344"/>
      <c r="BP362" s="344"/>
    </row>
    <row r="363" spans="54:68">
      <c r="BB363" s="794">
        <v>30864</v>
      </c>
      <c r="BC363" s="344" t="str">
        <f t="shared" si="5"/>
        <v>札幌市白石区川下四条</v>
      </c>
      <c r="BD363" s="56" t="s">
        <v>574</v>
      </c>
      <c r="BE363" s="303" t="s">
        <v>880</v>
      </c>
      <c r="BF363" s="344"/>
      <c r="BG363" s="344"/>
      <c r="BH363" s="344"/>
      <c r="BI363" s="344"/>
      <c r="BJ363" s="344"/>
      <c r="BK363" s="344"/>
      <c r="BL363" s="344"/>
      <c r="BO363" s="344"/>
      <c r="BP363" s="344"/>
    </row>
    <row r="364" spans="54:68">
      <c r="BB364" s="794">
        <v>30865</v>
      </c>
      <c r="BC364" s="344" t="str">
        <f t="shared" si="5"/>
        <v>札幌市白石区川下五条</v>
      </c>
      <c r="BD364" s="56" t="s">
        <v>574</v>
      </c>
      <c r="BE364" s="303" t="s">
        <v>881</v>
      </c>
      <c r="BF364" s="344"/>
      <c r="BG364" s="344"/>
      <c r="BH364" s="344"/>
      <c r="BI364" s="344"/>
      <c r="BJ364" s="344"/>
      <c r="BK364" s="344"/>
      <c r="BL364" s="344"/>
      <c r="BO364" s="344"/>
      <c r="BP364" s="344"/>
    </row>
    <row r="365" spans="54:68">
      <c r="BB365" s="794">
        <v>30859</v>
      </c>
      <c r="BC365" s="344" t="str">
        <f t="shared" si="5"/>
        <v>札幌市白石区川北</v>
      </c>
      <c r="BD365" s="56" t="s">
        <v>574</v>
      </c>
      <c r="BE365" s="303" t="s">
        <v>882</v>
      </c>
      <c r="BF365" s="344"/>
      <c r="BG365" s="344"/>
      <c r="BH365" s="344"/>
      <c r="BI365" s="344"/>
      <c r="BJ365" s="344"/>
      <c r="BK365" s="344"/>
      <c r="BL365" s="344"/>
      <c r="BO365" s="344"/>
      <c r="BP365" s="344"/>
    </row>
    <row r="366" spans="54:68">
      <c r="BB366" s="794">
        <v>30801</v>
      </c>
      <c r="BC366" s="344" t="str">
        <f t="shared" si="5"/>
        <v>札幌市白石区菊水一条</v>
      </c>
      <c r="BD366" s="56" t="s">
        <v>574</v>
      </c>
      <c r="BE366" s="303" t="s">
        <v>883</v>
      </c>
      <c r="BF366" s="344"/>
      <c r="BG366" s="344"/>
      <c r="BH366" s="344"/>
      <c r="BI366" s="344"/>
      <c r="BJ366" s="344"/>
      <c r="BK366" s="344"/>
      <c r="BL366" s="344"/>
      <c r="BO366" s="344"/>
      <c r="BP366" s="344"/>
    </row>
    <row r="367" spans="54:68">
      <c r="BB367" s="794">
        <v>30802</v>
      </c>
      <c r="BC367" s="344" t="str">
        <f t="shared" si="5"/>
        <v>札幌市白石区菊水二条</v>
      </c>
      <c r="BD367" s="56" t="s">
        <v>574</v>
      </c>
      <c r="BE367" s="303" t="s">
        <v>884</v>
      </c>
      <c r="BF367" s="344"/>
      <c r="BG367" s="344"/>
      <c r="BH367" s="344"/>
      <c r="BI367" s="344"/>
      <c r="BJ367" s="344"/>
      <c r="BK367" s="344"/>
      <c r="BL367" s="344"/>
      <c r="BO367" s="344"/>
      <c r="BP367" s="344"/>
    </row>
    <row r="368" spans="54:68">
      <c r="BB368" s="794">
        <v>30803</v>
      </c>
      <c r="BC368" s="344" t="str">
        <f t="shared" si="5"/>
        <v>札幌市白石区菊水三条</v>
      </c>
      <c r="BD368" s="56" t="s">
        <v>574</v>
      </c>
      <c r="BE368" s="303" t="s">
        <v>885</v>
      </c>
      <c r="BF368" s="344"/>
      <c r="BG368" s="344"/>
      <c r="BH368" s="344"/>
      <c r="BI368" s="344"/>
      <c r="BJ368" s="344"/>
      <c r="BK368" s="344"/>
      <c r="BL368" s="344"/>
      <c r="BO368" s="344"/>
      <c r="BP368" s="344"/>
    </row>
    <row r="369" spans="54:68">
      <c r="BB369" s="794">
        <v>30804</v>
      </c>
      <c r="BC369" s="344" t="str">
        <f t="shared" si="5"/>
        <v>札幌市白石区菊水四条</v>
      </c>
      <c r="BD369" s="56" t="s">
        <v>574</v>
      </c>
      <c r="BE369" s="303" t="s">
        <v>886</v>
      </c>
      <c r="BF369" s="344"/>
      <c r="BG369" s="344"/>
      <c r="BH369" s="344"/>
      <c r="BI369" s="344"/>
      <c r="BJ369" s="344"/>
      <c r="BK369" s="344"/>
      <c r="BL369" s="344"/>
      <c r="BO369" s="344"/>
      <c r="BP369" s="344"/>
    </row>
    <row r="370" spans="54:68">
      <c r="BB370" s="794">
        <v>30805</v>
      </c>
      <c r="BC370" s="344" t="str">
        <f t="shared" si="5"/>
        <v>札幌市白石区菊水五条</v>
      </c>
      <c r="BD370" s="56" t="s">
        <v>574</v>
      </c>
      <c r="BE370" s="303" t="s">
        <v>887</v>
      </c>
      <c r="BF370" s="344"/>
      <c r="BG370" s="344"/>
      <c r="BH370" s="344"/>
      <c r="BI370" s="344"/>
      <c r="BJ370" s="344"/>
      <c r="BK370" s="344"/>
      <c r="BL370" s="344"/>
      <c r="BO370" s="344"/>
      <c r="BP370" s="344"/>
    </row>
    <row r="371" spans="54:68">
      <c r="BB371" s="794">
        <v>30806</v>
      </c>
      <c r="BC371" s="344" t="str">
        <f t="shared" si="5"/>
        <v>札幌市白石区菊水六条</v>
      </c>
      <c r="BD371" s="56" t="s">
        <v>574</v>
      </c>
      <c r="BE371" s="303" t="s">
        <v>888</v>
      </c>
      <c r="BF371" s="344"/>
      <c r="BG371" s="344"/>
      <c r="BH371" s="344"/>
      <c r="BI371" s="344"/>
      <c r="BJ371" s="344"/>
      <c r="BK371" s="344"/>
      <c r="BL371" s="344"/>
      <c r="BO371" s="344"/>
      <c r="BP371" s="344"/>
    </row>
    <row r="372" spans="54:68">
      <c r="BB372" s="794">
        <v>30807</v>
      </c>
      <c r="BC372" s="344" t="str">
        <f t="shared" si="5"/>
        <v>札幌市白石区菊水七条</v>
      </c>
      <c r="BD372" s="56" t="s">
        <v>574</v>
      </c>
      <c r="BE372" s="303" t="s">
        <v>889</v>
      </c>
      <c r="BF372" s="344"/>
      <c r="BG372" s="344"/>
      <c r="BH372" s="344"/>
      <c r="BI372" s="344"/>
      <c r="BJ372" s="344"/>
      <c r="BK372" s="344"/>
      <c r="BL372" s="344"/>
      <c r="BO372" s="344"/>
      <c r="BP372" s="344"/>
    </row>
    <row r="373" spans="54:68">
      <c r="BB373" s="794">
        <v>30808</v>
      </c>
      <c r="BC373" s="344" t="str">
        <f t="shared" si="5"/>
        <v>札幌市白石区菊水八条</v>
      </c>
      <c r="BD373" s="56" t="s">
        <v>574</v>
      </c>
      <c r="BE373" s="303" t="s">
        <v>890</v>
      </c>
      <c r="BF373" s="344"/>
      <c r="BG373" s="344"/>
      <c r="BH373" s="344"/>
      <c r="BI373" s="344"/>
      <c r="BJ373" s="344"/>
      <c r="BK373" s="344"/>
      <c r="BL373" s="344"/>
      <c r="BO373" s="344"/>
      <c r="BP373" s="344"/>
    </row>
    <row r="374" spans="54:68">
      <c r="BB374" s="794">
        <v>30809</v>
      </c>
      <c r="BC374" s="344" t="str">
        <f t="shared" si="5"/>
        <v>札幌市白石区菊水九条</v>
      </c>
      <c r="BD374" s="56" t="s">
        <v>574</v>
      </c>
      <c r="BE374" s="303" t="s">
        <v>891</v>
      </c>
      <c r="BF374" s="344"/>
      <c r="BG374" s="344"/>
      <c r="BH374" s="344"/>
      <c r="BI374" s="344"/>
      <c r="BJ374" s="344"/>
      <c r="BK374" s="344"/>
      <c r="BL374" s="344"/>
      <c r="BO374" s="344"/>
      <c r="BP374" s="344"/>
    </row>
    <row r="375" spans="54:68">
      <c r="BB375" s="794">
        <v>30811</v>
      </c>
      <c r="BC375" s="344" t="str">
        <f t="shared" si="5"/>
        <v>札幌市白石区菊水上町一条</v>
      </c>
      <c r="BD375" s="56" t="s">
        <v>574</v>
      </c>
      <c r="BE375" s="303" t="s">
        <v>892</v>
      </c>
      <c r="BF375" s="344"/>
      <c r="BG375" s="344"/>
      <c r="BH375" s="344"/>
      <c r="BI375" s="344"/>
      <c r="BJ375" s="344"/>
      <c r="BK375" s="344"/>
      <c r="BL375" s="344"/>
      <c r="BO375" s="344"/>
      <c r="BP375" s="344"/>
    </row>
    <row r="376" spans="54:68">
      <c r="BB376" s="794">
        <v>30812</v>
      </c>
      <c r="BC376" s="344" t="str">
        <f t="shared" si="5"/>
        <v>札幌市白石区菊水上町二条</v>
      </c>
      <c r="BD376" s="56" t="s">
        <v>574</v>
      </c>
      <c r="BE376" s="303" t="s">
        <v>893</v>
      </c>
      <c r="BF376" s="344"/>
      <c r="BG376" s="344"/>
      <c r="BH376" s="344"/>
      <c r="BI376" s="344"/>
      <c r="BJ376" s="344"/>
      <c r="BK376" s="344"/>
      <c r="BL376" s="344"/>
      <c r="BO376" s="344"/>
      <c r="BP376" s="344"/>
    </row>
    <row r="377" spans="54:68">
      <c r="BB377" s="794">
        <v>30813</v>
      </c>
      <c r="BC377" s="344" t="str">
        <f t="shared" si="5"/>
        <v>札幌市白石区菊水上町三条</v>
      </c>
      <c r="BD377" s="56" t="s">
        <v>574</v>
      </c>
      <c r="BE377" s="303" t="s">
        <v>894</v>
      </c>
      <c r="BF377" s="344"/>
      <c r="BG377" s="344"/>
      <c r="BH377" s="344"/>
      <c r="BI377" s="344"/>
      <c r="BJ377" s="344"/>
      <c r="BK377" s="344"/>
      <c r="BL377" s="344"/>
      <c r="BO377" s="344"/>
      <c r="BP377" s="344"/>
    </row>
    <row r="378" spans="54:68">
      <c r="BB378" s="794">
        <v>30814</v>
      </c>
      <c r="BC378" s="344" t="str">
        <f t="shared" si="5"/>
        <v>札幌市白石区菊水上町四条</v>
      </c>
      <c r="BD378" s="56" t="s">
        <v>574</v>
      </c>
      <c r="BE378" s="303" t="s">
        <v>895</v>
      </c>
      <c r="BF378" s="344"/>
      <c r="BG378" s="344"/>
      <c r="BH378" s="344"/>
      <c r="BI378" s="344"/>
      <c r="BJ378" s="344"/>
      <c r="BK378" s="344"/>
      <c r="BL378" s="344"/>
      <c r="BO378" s="344"/>
      <c r="BP378" s="344"/>
    </row>
    <row r="379" spans="54:68">
      <c r="BB379" s="794">
        <v>30821</v>
      </c>
      <c r="BC379" s="344" t="str">
        <f t="shared" si="5"/>
        <v>札幌市白石区菊水元町一条</v>
      </c>
      <c r="BD379" s="56" t="s">
        <v>574</v>
      </c>
      <c r="BE379" s="303" t="s">
        <v>896</v>
      </c>
      <c r="BF379" s="344"/>
      <c r="BG379" s="344"/>
      <c r="BH379" s="344"/>
      <c r="BI379" s="344"/>
      <c r="BJ379" s="344"/>
      <c r="BK379" s="344"/>
      <c r="BL379" s="344"/>
      <c r="BO379" s="344"/>
      <c r="BP379" s="344"/>
    </row>
    <row r="380" spans="54:68">
      <c r="BB380" s="794">
        <v>30822</v>
      </c>
      <c r="BC380" s="344" t="str">
        <f t="shared" si="5"/>
        <v>札幌市白石区菊水元町二条</v>
      </c>
      <c r="BD380" s="56" t="s">
        <v>574</v>
      </c>
      <c r="BE380" s="303" t="s">
        <v>897</v>
      </c>
      <c r="BF380" s="344"/>
      <c r="BG380" s="344"/>
      <c r="BH380" s="344"/>
      <c r="BI380" s="344"/>
      <c r="BJ380" s="344"/>
      <c r="BK380" s="344"/>
      <c r="BL380" s="344"/>
      <c r="BO380" s="344"/>
      <c r="BP380" s="344"/>
    </row>
    <row r="381" spans="54:68">
      <c r="BB381" s="794">
        <v>30823</v>
      </c>
      <c r="BC381" s="344" t="str">
        <f t="shared" si="5"/>
        <v>札幌市白石区菊水元町三条</v>
      </c>
      <c r="BD381" s="56" t="s">
        <v>574</v>
      </c>
      <c r="BE381" s="303" t="s">
        <v>898</v>
      </c>
      <c r="BF381" s="344"/>
      <c r="BG381" s="344"/>
      <c r="BH381" s="344"/>
      <c r="BI381" s="344"/>
      <c r="BJ381" s="344"/>
      <c r="BK381" s="344"/>
      <c r="BL381" s="344"/>
      <c r="BO381" s="344"/>
      <c r="BP381" s="344"/>
    </row>
    <row r="382" spans="54:68">
      <c r="BB382" s="794">
        <v>30824</v>
      </c>
      <c r="BC382" s="344" t="str">
        <f t="shared" si="5"/>
        <v>札幌市白石区菊水元町四条</v>
      </c>
      <c r="BD382" s="56" t="s">
        <v>574</v>
      </c>
      <c r="BE382" s="303" t="s">
        <v>899</v>
      </c>
      <c r="BF382" s="344"/>
      <c r="BG382" s="344"/>
      <c r="BH382" s="344"/>
      <c r="BI382" s="344"/>
      <c r="BJ382" s="344"/>
      <c r="BK382" s="344"/>
      <c r="BL382" s="344"/>
      <c r="BO382" s="344"/>
      <c r="BP382" s="344"/>
    </row>
    <row r="383" spans="54:68">
      <c r="BB383" s="794">
        <v>30825</v>
      </c>
      <c r="BC383" s="344" t="str">
        <f t="shared" ref="BC383:BC446" si="6">BD383&amp;BE383</f>
        <v>札幌市白石区菊水元町五条</v>
      </c>
      <c r="BD383" s="56" t="s">
        <v>574</v>
      </c>
      <c r="BE383" s="303" t="s">
        <v>900</v>
      </c>
      <c r="BF383" s="344"/>
      <c r="BG383" s="344"/>
      <c r="BH383" s="344"/>
      <c r="BI383" s="344"/>
      <c r="BJ383" s="344"/>
      <c r="BK383" s="344"/>
      <c r="BL383" s="344"/>
      <c r="BO383" s="344"/>
      <c r="BP383" s="344"/>
    </row>
    <row r="384" spans="54:68">
      <c r="BB384" s="794">
        <v>30826</v>
      </c>
      <c r="BC384" s="344" t="str">
        <f t="shared" si="6"/>
        <v>札幌市白石区菊水元町六条</v>
      </c>
      <c r="BD384" s="56" t="s">
        <v>574</v>
      </c>
      <c r="BE384" s="303" t="s">
        <v>901</v>
      </c>
      <c r="BF384" s="344"/>
      <c r="BG384" s="344"/>
      <c r="BH384" s="344"/>
      <c r="BI384" s="344"/>
      <c r="BJ384" s="344"/>
      <c r="BK384" s="344"/>
      <c r="BL384" s="344"/>
      <c r="BO384" s="344"/>
      <c r="BP384" s="344"/>
    </row>
    <row r="385" spans="54:68">
      <c r="BB385" s="794">
        <v>30827</v>
      </c>
      <c r="BC385" s="344" t="str">
        <f t="shared" si="6"/>
        <v>札幌市白石区菊水元町七条</v>
      </c>
      <c r="BD385" s="56" t="s">
        <v>574</v>
      </c>
      <c r="BE385" s="303" t="s">
        <v>902</v>
      </c>
      <c r="BF385" s="344"/>
      <c r="BG385" s="344"/>
      <c r="BH385" s="344"/>
      <c r="BI385" s="344"/>
      <c r="BJ385" s="344"/>
      <c r="BK385" s="344"/>
      <c r="BL385" s="344"/>
      <c r="BO385" s="344"/>
      <c r="BP385" s="344"/>
    </row>
    <row r="386" spans="54:68">
      <c r="BB386" s="794">
        <v>30828</v>
      </c>
      <c r="BC386" s="344" t="str">
        <f t="shared" si="6"/>
        <v>札幌市白石区菊水元町八条</v>
      </c>
      <c r="BD386" s="56" t="s">
        <v>574</v>
      </c>
      <c r="BE386" s="303" t="s">
        <v>903</v>
      </c>
      <c r="BF386" s="344"/>
      <c r="BG386" s="344"/>
      <c r="BH386" s="344"/>
      <c r="BI386" s="344"/>
      <c r="BJ386" s="344"/>
      <c r="BK386" s="344"/>
      <c r="BL386" s="344"/>
      <c r="BO386" s="344"/>
      <c r="BP386" s="344"/>
    </row>
    <row r="387" spans="54:68">
      <c r="BB387" s="794">
        <v>30829</v>
      </c>
      <c r="BC387" s="344" t="str">
        <f t="shared" si="6"/>
        <v>札幌市白石区菊水元町九条</v>
      </c>
      <c r="BD387" s="56" t="s">
        <v>574</v>
      </c>
      <c r="BE387" s="303" t="s">
        <v>904</v>
      </c>
      <c r="BF387" s="344"/>
      <c r="BG387" s="344"/>
      <c r="BH387" s="344"/>
      <c r="BI387" s="344"/>
      <c r="BJ387" s="344"/>
      <c r="BK387" s="344"/>
      <c r="BL387" s="344"/>
      <c r="BO387" s="344"/>
      <c r="BP387" s="344"/>
    </row>
    <row r="388" spans="54:68">
      <c r="BB388" s="794">
        <v>30830</v>
      </c>
      <c r="BC388" s="344" t="str">
        <f t="shared" si="6"/>
        <v>札幌市白石区菊水元町十条</v>
      </c>
      <c r="BD388" s="56" t="s">
        <v>574</v>
      </c>
      <c r="BE388" s="303" t="s">
        <v>905</v>
      </c>
      <c r="BF388" s="344"/>
      <c r="BG388" s="344"/>
      <c r="BH388" s="344"/>
      <c r="BI388" s="344"/>
      <c r="BJ388" s="344"/>
      <c r="BK388" s="344"/>
      <c r="BL388" s="344"/>
      <c r="BO388" s="344"/>
      <c r="BP388" s="344"/>
    </row>
    <row r="389" spans="54:68">
      <c r="BB389" s="794">
        <v>30849</v>
      </c>
      <c r="BC389" s="344" t="str">
        <f t="shared" si="6"/>
        <v>札幌市白石区北郷</v>
      </c>
      <c r="BD389" s="56" t="s">
        <v>574</v>
      </c>
      <c r="BE389" s="303" t="s">
        <v>906</v>
      </c>
      <c r="BF389" s="344"/>
      <c r="BG389" s="344"/>
      <c r="BH389" s="344"/>
      <c r="BI389" s="344"/>
      <c r="BJ389" s="344"/>
      <c r="BK389" s="344"/>
      <c r="BL389" s="344"/>
      <c r="BO389" s="344"/>
      <c r="BP389" s="344"/>
    </row>
    <row r="390" spans="54:68">
      <c r="BB390" s="794">
        <v>30831</v>
      </c>
      <c r="BC390" s="344" t="str">
        <f t="shared" si="6"/>
        <v>札幌市白石区北郷一条</v>
      </c>
      <c r="BD390" s="56" t="s">
        <v>574</v>
      </c>
      <c r="BE390" s="303" t="s">
        <v>907</v>
      </c>
      <c r="BF390" s="344"/>
      <c r="BG390" s="344"/>
      <c r="BH390" s="344"/>
      <c r="BI390" s="344"/>
      <c r="BJ390" s="344"/>
      <c r="BK390" s="344"/>
      <c r="BL390" s="344"/>
      <c r="BO390" s="344"/>
      <c r="BP390" s="344"/>
    </row>
    <row r="391" spans="54:68">
      <c r="BB391" s="794">
        <v>30832</v>
      </c>
      <c r="BC391" s="344" t="str">
        <f t="shared" si="6"/>
        <v>札幌市白石区北郷二条</v>
      </c>
      <c r="BD391" s="56" t="s">
        <v>574</v>
      </c>
      <c r="BE391" s="303" t="s">
        <v>908</v>
      </c>
      <c r="BF391" s="344"/>
      <c r="BG391" s="344"/>
      <c r="BH391" s="344"/>
      <c r="BI391" s="344"/>
      <c r="BJ391" s="344"/>
      <c r="BK391" s="344"/>
      <c r="BL391" s="344"/>
      <c r="BO391" s="344"/>
      <c r="BP391" s="344"/>
    </row>
    <row r="392" spans="54:68">
      <c r="BB392" s="794">
        <v>30833</v>
      </c>
      <c r="BC392" s="344" t="str">
        <f t="shared" si="6"/>
        <v>札幌市白石区北郷三条</v>
      </c>
      <c r="BD392" s="56" t="s">
        <v>574</v>
      </c>
      <c r="BE392" s="303" t="s">
        <v>909</v>
      </c>
      <c r="BF392" s="344"/>
      <c r="BG392" s="344"/>
      <c r="BH392" s="344"/>
      <c r="BI392" s="344"/>
      <c r="BJ392" s="344"/>
      <c r="BK392" s="344"/>
      <c r="BL392" s="344"/>
      <c r="BO392" s="344"/>
      <c r="BP392" s="344"/>
    </row>
    <row r="393" spans="54:68">
      <c r="BB393" s="794">
        <v>30834</v>
      </c>
      <c r="BC393" s="344" t="str">
        <f t="shared" si="6"/>
        <v>札幌市白石区北郷四条</v>
      </c>
      <c r="BD393" s="56" t="s">
        <v>574</v>
      </c>
      <c r="BE393" s="303" t="s">
        <v>910</v>
      </c>
      <c r="BF393" s="344"/>
      <c r="BG393" s="344"/>
      <c r="BH393" s="344"/>
      <c r="BI393" s="344"/>
      <c r="BJ393" s="344"/>
      <c r="BK393" s="344"/>
      <c r="BL393" s="344"/>
      <c r="BO393" s="344"/>
      <c r="BP393" s="344"/>
    </row>
    <row r="394" spans="54:68">
      <c r="BB394" s="794">
        <v>30835</v>
      </c>
      <c r="BC394" s="344" t="str">
        <f t="shared" si="6"/>
        <v>札幌市白石区北郷五条</v>
      </c>
      <c r="BD394" s="56" t="s">
        <v>574</v>
      </c>
      <c r="BE394" s="303" t="s">
        <v>911</v>
      </c>
      <c r="BF394" s="344"/>
      <c r="BG394" s="344"/>
      <c r="BH394" s="344"/>
      <c r="BI394" s="344"/>
      <c r="BJ394" s="344"/>
      <c r="BK394" s="344"/>
      <c r="BL394" s="344"/>
      <c r="BO394" s="344"/>
      <c r="BP394" s="344"/>
    </row>
    <row r="395" spans="54:68">
      <c r="BB395" s="794">
        <v>30836</v>
      </c>
      <c r="BC395" s="344" t="str">
        <f t="shared" si="6"/>
        <v>札幌市白石区北郷六条</v>
      </c>
      <c r="BD395" s="56" t="s">
        <v>574</v>
      </c>
      <c r="BE395" s="303" t="s">
        <v>912</v>
      </c>
      <c r="BF395" s="344"/>
      <c r="BG395" s="344"/>
      <c r="BH395" s="344"/>
      <c r="BI395" s="344"/>
      <c r="BJ395" s="344"/>
      <c r="BK395" s="344"/>
      <c r="BL395" s="344"/>
      <c r="BO395" s="344"/>
      <c r="BP395" s="344"/>
    </row>
    <row r="396" spans="54:68">
      <c r="BB396" s="794">
        <v>30837</v>
      </c>
      <c r="BC396" s="344" t="str">
        <f t="shared" si="6"/>
        <v>札幌市白石区北郷七条</v>
      </c>
      <c r="BD396" s="56" t="s">
        <v>574</v>
      </c>
      <c r="BE396" s="303" t="s">
        <v>913</v>
      </c>
      <c r="BF396" s="344"/>
      <c r="BG396" s="344"/>
      <c r="BH396" s="344"/>
      <c r="BI396" s="344"/>
      <c r="BJ396" s="344"/>
      <c r="BK396" s="344"/>
      <c r="BL396" s="344"/>
      <c r="BO396" s="344"/>
      <c r="BP396" s="344"/>
    </row>
    <row r="397" spans="54:68">
      <c r="BB397" s="794">
        <v>30838</v>
      </c>
      <c r="BC397" s="344" t="str">
        <f t="shared" si="6"/>
        <v>札幌市白石区北郷八条</v>
      </c>
      <c r="BD397" s="56" t="s">
        <v>574</v>
      </c>
      <c r="BE397" s="303" t="s">
        <v>914</v>
      </c>
      <c r="BF397" s="344"/>
      <c r="BG397" s="344"/>
      <c r="BH397" s="344"/>
      <c r="BI397" s="344"/>
      <c r="BJ397" s="344"/>
      <c r="BK397" s="344"/>
      <c r="BL397" s="344"/>
      <c r="BO397" s="344"/>
      <c r="BP397" s="344"/>
    </row>
    <row r="398" spans="54:68">
      <c r="BB398" s="794">
        <v>30839</v>
      </c>
      <c r="BC398" s="344" t="str">
        <f t="shared" si="6"/>
        <v>札幌市白石区北郷九条</v>
      </c>
      <c r="BD398" s="56" t="s">
        <v>574</v>
      </c>
      <c r="BE398" s="303" t="s">
        <v>915</v>
      </c>
      <c r="BF398" s="344"/>
      <c r="BG398" s="344"/>
      <c r="BH398" s="344"/>
      <c r="BI398" s="344"/>
      <c r="BJ398" s="344"/>
      <c r="BK398" s="344"/>
      <c r="BL398" s="344"/>
      <c r="BO398" s="344"/>
      <c r="BP398" s="344"/>
    </row>
    <row r="399" spans="54:68">
      <c r="BB399" s="794">
        <v>30840</v>
      </c>
      <c r="BC399" s="344" t="str">
        <f t="shared" si="6"/>
        <v>札幌市白石区北郷十条</v>
      </c>
      <c r="BD399" s="56" t="s">
        <v>574</v>
      </c>
      <c r="BE399" s="303" t="s">
        <v>916</v>
      </c>
      <c r="BF399" s="344"/>
      <c r="BG399" s="344"/>
      <c r="BH399" s="344"/>
      <c r="BI399" s="344"/>
      <c r="BJ399" s="344"/>
      <c r="BK399" s="344"/>
      <c r="BL399" s="344"/>
      <c r="BO399" s="344"/>
      <c r="BP399" s="344"/>
    </row>
    <row r="400" spans="54:68">
      <c r="BB400" s="794">
        <v>30021</v>
      </c>
      <c r="BC400" s="344" t="str">
        <f t="shared" si="6"/>
        <v>札幌市白石区栄通</v>
      </c>
      <c r="BD400" s="56" t="s">
        <v>574</v>
      </c>
      <c r="BE400" s="303" t="s">
        <v>917</v>
      </c>
      <c r="BF400" s="344"/>
      <c r="BG400" s="344"/>
      <c r="BH400" s="344"/>
      <c r="BI400" s="344"/>
      <c r="BJ400" s="344"/>
      <c r="BK400" s="344"/>
      <c r="BL400" s="344"/>
      <c r="BO400" s="344"/>
      <c r="BP400" s="344"/>
    </row>
    <row r="401" spans="54:68">
      <c r="BB401" s="794">
        <v>30011</v>
      </c>
      <c r="BC401" s="344" t="str">
        <f t="shared" si="6"/>
        <v>札幌市白石区中央一条</v>
      </c>
      <c r="BD401" s="56" t="s">
        <v>574</v>
      </c>
      <c r="BE401" s="303" t="s">
        <v>918</v>
      </c>
      <c r="BF401" s="344"/>
      <c r="BG401" s="344"/>
      <c r="BH401" s="344"/>
      <c r="BI401" s="344"/>
      <c r="BJ401" s="344"/>
      <c r="BK401" s="344"/>
      <c r="BL401" s="344"/>
      <c r="BO401" s="344"/>
      <c r="BP401" s="344"/>
    </row>
    <row r="402" spans="54:68">
      <c r="BB402" s="794">
        <v>30012</v>
      </c>
      <c r="BC402" s="344" t="str">
        <f t="shared" si="6"/>
        <v>札幌市白石区中央二条</v>
      </c>
      <c r="BD402" s="56" t="s">
        <v>574</v>
      </c>
      <c r="BE402" s="303" t="s">
        <v>919</v>
      </c>
      <c r="BF402" s="344"/>
      <c r="BG402" s="344"/>
      <c r="BH402" s="344"/>
      <c r="BI402" s="344"/>
      <c r="BJ402" s="344"/>
      <c r="BK402" s="344"/>
      <c r="BL402" s="344"/>
      <c r="BO402" s="344"/>
      <c r="BP402" s="344"/>
    </row>
    <row r="403" spans="54:68">
      <c r="BB403" s="794">
        <v>30013</v>
      </c>
      <c r="BC403" s="344" t="str">
        <f t="shared" si="6"/>
        <v>札幌市白石区中央三条</v>
      </c>
      <c r="BD403" s="56" t="s">
        <v>574</v>
      </c>
      <c r="BE403" s="303" t="s">
        <v>920</v>
      </c>
      <c r="BF403" s="344"/>
      <c r="BG403" s="344"/>
      <c r="BH403" s="344"/>
      <c r="BI403" s="344"/>
      <c r="BJ403" s="344"/>
      <c r="BK403" s="344"/>
      <c r="BL403" s="344"/>
      <c r="BO403" s="344"/>
      <c r="BP403" s="344"/>
    </row>
    <row r="404" spans="54:68">
      <c r="BB404" s="794">
        <v>30022</v>
      </c>
      <c r="BC404" s="344" t="str">
        <f t="shared" si="6"/>
        <v>札幌市白石区南郷通</v>
      </c>
      <c r="BD404" s="56" t="s">
        <v>574</v>
      </c>
      <c r="BE404" s="303" t="s">
        <v>2271</v>
      </c>
      <c r="BF404" s="344"/>
      <c r="BG404" s="344"/>
      <c r="BH404" s="344"/>
      <c r="BI404" s="344"/>
      <c r="BJ404" s="344"/>
      <c r="BK404" s="344"/>
      <c r="BL404" s="344"/>
      <c r="BO404" s="344"/>
      <c r="BP404" s="344"/>
    </row>
    <row r="405" spans="54:68">
      <c r="BB405" s="794">
        <v>30023</v>
      </c>
      <c r="BC405" s="344" t="str">
        <f t="shared" si="6"/>
        <v>札幌市白石区南郷通</v>
      </c>
      <c r="BD405" s="56" t="s">
        <v>574</v>
      </c>
      <c r="BE405" s="303" t="s">
        <v>2272</v>
      </c>
      <c r="BF405" s="344"/>
      <c r="BG405" s="344"/>
      <c r="BH405" s="344"/>
      <c r="BI405" s="344"/>
      <c r="BJ405" s="344"/>
      <c r="BK405" s="344"/>
      <c r="BL405" s="344"/>
      <c r="BO405" s="344"/>
      <c r="BP405" s="344"/>
    </row>
    <row r="406" spans="54:68">
      <c r="BB406" s="794">
        <v>30001</v>
      </c>
      <c r="BC406" s="344" t="str">
        <f t="shared" si="6"/>
        <v>札幌市白石区東札幌一条</v>
      </c>
      <c r="BD406" s="56" t="s">
        <v>574</v>
      </c>
      <c r="BE406" s="303" t="s">
        <v>921</v>
      </c>
      <c r="BF406" s="344"/>
      <c r="BG406" s="344"/>
      <c r="BH406" s="344"/>
      <c r="BI406" s="344"/>
      <c r="BJ406" s="344"/>
      <c r="BK406" s="344"/>
      <c r="BL406" s="344"/>
      <c r="BO406" s="344"/>
      <c r="BP406" s="344"/>
    </row>
    <row r="407" spans="54:68">
      <c r="BB407" s="794">
        <v>30002</v>
      </c>
      <c r="BC407" s="344" t="str">
        <f t="shared" si="6"/>
        <v>札幌市白石区東札幌二条</v>
      </c>
      <c r="BD407" s="56" t="s">
        <v>574</v>
      </c>
      <c r="BE407" s="303" t="s">
        <v>922</v>
      </c>
      <c r="BF407" s="344"/>
      <c r="BG407" s="344"/>
      <c r="BH407" s="344"/>
      <c r="BI407" s="344"/>
      <c r="BJ407" s="344"/>
      <c r="BK407" s="344"/>
      <c r="BL407" s="344"/>
      <c r="BO407" s="344"/>
      <c r="BP407" s="344"/>
    </row>
    <row r="408" spans="54:68">
      <c r="BB408" s="794">
        <v>30003</v>
      </c>
      <c r="BC408" s="344" t="str">
        <f t="shared" si="6"/>
        <v>札幌市白石区東札幌三条</v>
      </c>
      <c r="BD408" s="56" t="s">
        <v>574</v>
      </c>
      <c r="BE408" s="303" t="s">
        <v>923</v>
      </c>
      <c r="BF408" s="344"/>
      <c r="BG408" s="344"/>
      <c r="BH408" s="344"/>
      <c r="BI408" s="344"/>
      <c r="BJ408" s="344"/>
      <c r="BK408" s="344"/>
      <c r="BL408" s="344"/>
      <c r="BO408" s="344"/>
      <c r="BP408" s="344"/>
    </row>
    <row r="409" spans="54:68">
      <c r="BB409" s="794">
        <v>30004</v>
      </c>
      <c r="BC409" s="344" t="str">
        <f t="shared" si="6"/>
        <v>札幌市白石区東札幌四条</v>
      </c>
      <c r="BD409" s="56" t="s">
        <v>574</v>
      </c>
      <c r="BE409" s="303" t="s">
        <v>924</v>
      </c>
      <c r="BF409" s="344"/>
      <c r="BG409" s="344"/>
      <c r="BH409" s="344"/>
      <c r="BI409" s="344"/>
      <c r="BJ409" s="344"/>
      <c r="BK409" s="344"/>
      <c r="BL409" s="344"/>
      <c r="BO409" s="344"/>
      <c r="BP409" s="344"/>
    </row>
    <row r="410" spans="54:68">
      <c r="BB410" s="794">
        <v>30005</v>
      </c>
      <c r="BC410" s="344" t="str">
        <f t="shared" si="6"/>
        <v>札幌市白石区東札幌五条</v>
      </c>
      <c r="BD410" s="56" t="s">
        <v>574</v>
      </c>
      <c r="BE410" s="303" t="s">
        <v>925</v>
      </c>
      <c r="BF410" s="344"/>
      <c r="BG410" s="344"/>
      <c r="BH410" s="344"/>
      <c r="BI410" s="344"/>
      <c r="BJ410" s="344"/>
      <c r="BK410" s="344"/>
      <c r="BL410" s="344"/>
      <c r="BO410" s="344"/>
      <c r="BP410" s="344"/>
    </row>
    <row r="411" spans="54:68">
      <c r="BB411" s="794">
        <v>30006</v>
      </c>
      <c r="BC411" s="344" t="str">
        <f t="shared" si="6"/>
        <v>札幌市白石区東札幌六条</v>
      </c>
      <c r="BD411" s="56" t="s">
        <v>574</v>
      </c>
      <c r="BE411" s="303" t="s">
        <v>926</v>
      </c>
      <c r="BF411" s="344"/>
      <c r="BG411" s="344"/>
      <c r="BH411" s="344"/>
      <c r="BI411" s="344"/>
      <c r="BJ411" s="344"/>
      <c r="BK411" s="344"/>
      <c r="BL411" s="344"/>
      <c r="BO411" s="344"/>
      <c r="BP411" s="344"/>
    </row>
    <row r="412" spans="54:68">
      <c r="BB412" s="794">
        <v>30876</v>
      </c>
      <c r="BC412" s="344" t="str">
        <f t="shared" si="6"/>
        <v>札幌市白石区東米里</v>
      </c>
      <c r="BD412" s="56" t="s">
        <v>574</v>
      </c>
      <c r="BE412" s="303" t="s">
        <v>927</v>
      </c>
      <c r="BF412" s="344"/>
      <c r="BG412" s="344"/>
      <c r="BH412" s="344"/>
      <c r="BI412" s="344"/>
      <c r="BJ412" s="344"/>
      <c r="BK412" s="344"/>
      <c r="BL412" s="344"/>
      <c r="BO412" s="344"/>
      <c r="BP412" s="344"/>
    </row>
    <row r="413" spans="54:68">
      <c r="BB413" s="794">
        <v>30028</v>
      </c>
      <c r="BC413" s="344" t="str">
        <f t="shared" si="6"/>
        <v>札幌市白石区平和通</v>
      </c>
      <c r="BD413" s="56" t="s">
        <v>574</v>
      </c>
      <c r="BE413" s="303" t="s">
        <v>2273</v>
      </c>
      <c r="BF413" s="344"/>
      <c r="BG413" s="344"/>
      <c r="BH413" s="344"/>
      <c r="BI413" s="344"/>
      <c r="BJ413" s="344"/>
      <c r="BK413" s="344"/>
      <c r="BL413" s="344"/>
      <c r="BO413" s="344"/>
      <c r="BP413" s="344"/>
    </row>
    <row r="414" spans="54:68">
      <c r="BB414" s="794">
        <v>30029</v>
      </c>
      <c r="BC414" s="344" t="str">
        <f t="shared" si="6"/>
        <v>札幌市白石区平和通</v>
      </c>
      <c r="BD414" s="56" t="s">
        <v>574</v>
      </c>
      <c r="BE414" s="303" t="s">
        <v>2274</v>
      </c>
      <c r="BF414" s="344"/>
      <c r="BG414" s="344"/>
      <c r="BH414" s="344"/>
      <c r="BI414" s="344"/>
      <c r="BJ414" s="344"/>
      <c r="BK414" s="344"/>
      <c r="BL414" s="344"/>
      <c r="BO414" s="344"/>
      <c r="BP414" s="344"/>
    </row>
    <row r="415" spans="54:68">
      <c r="BB415" s="794">
        <v>30024</v>
      </c>
      <c r="BC415" s="344" t="str">
        <f t="shared" si="6"/>
        <v>札幌市白石区本郷通</v>
      </c>
      <c r="BD415" s="56" t="s">
        <v>574</v>
      </c>
      <c r="BE415" s="303" t="s">
        <v>2275</v>
      </c>
      <c r="BF415" s="344"/>
      <c r="BG415" s="344"/>
      <c r="BH415" s="344"/>
      <c r="BI415" s="344"/>
      <c r="BJ415" s="344"/>
      <c r="BK415" s="344"/>
      <c r="BL415" s="344"/>
      <c r="BO415" s="344"/>
      <c r="BP415" s="344"/>
    </row>
    <row r="416" spans="54:68">
      <c r="BB416" s="794">
        <v>30025</v>
      </c>
      <c r="BC416" s="344" t="str">
        <f t="shared" si="6"/>
        <v>札幌市白石区本郷通</v>
      </c>
      <c r="BD416" s="56" t="s">
        <v>574</v>
      </c>
      <c r="BE416" s="303" t="s">
        <v>2276</v>
      </c>
      <c r="BF416" s="344"/>
      <c r="BG416" s="344"/>
      <c r="BH416" s="344"/>
      <c r="BI416" s="344"/>
      <c r="BJ416" s="344"/>
      <c r="BK416" s="344"/>
      <c r="BL416" s="344"/>
      <c r="BO416" s="344"/>
      <c r="BP416" s="344"/>
    </row>
    <row r="417" spans="54:68">
      <c r="BB417" s="794">
        <v>30026</v>
      </c>
      <c r="BC417" s="344" t="str">
        <f t="shared" si="6"/>
        <v>札幌市白石区本通</v>
      </c>
      <c r="BD417" s="56" t="s">
        <v>574</v>
      </c>
      <c r="BE417" s="303" t="s">
        <v>2277</v>
      </c>
      <c r="BF417" s="344"/>
      <c r="BG417" s="344"/>
      <c r="BH417" s="344"/>
      <c r="BI417" s="344"/>
      <c r="BJ417" s="344"/>
      <c r="BK417" s="344"/>
      <c r="BL417" s="344"/>
      <c r="BO417" s="344"/>
      <c r="BP417" s="344"/>
    </row>
    <row r="418" spans="54:68">
      <c r="BB418" s="794">
        <v>30027</v>
      </c>
      <c r="BC418" s="344" t="str">
        <f t="shared" si="6"/>
        <v>札幌市白石区本通</v>
      </c>
      <c r="BD418" s="56" t="s">
        <v>574</v>
      </c>
      <c r="BE418" s="303" t="s">
        <v>2278</v>
      </c>
      <c r="BF418" s="344"/>
      <c r="BG418" s="344"/>
      <c r="BH418" s="344"/>
      <c r="BI418" s="344"/>
      <c r="BJ418" s="344"/>
      <c r="BK418" s="344"/>
      <c r="BL418" s="344"/>
      <c r="BO418" s="344"/>
      <c r="BP418" s="344"/>
    </row>
    <row r="419" spans="54:68">
      <c r="BB419" s="794">
        <v>30871</v>
      </c>
      <c r="BC419" s="344" t="str">
        <f t="shared" si="6"/>
        <v>札幌市白石区米里一条</v>
      </c>
      <c r="BD419" s="56" t="s">
        <v>574</v>
      </c>
      <c r="BE419" s="303" t="s">
        <v>928</v>
      </c>
      <c r="BF419" s="344"/>
      <c r="BG419" s="344"/>
      <c r="BH419" s="344"/>
      <c r="BI419" s="344"/>
      <c r="BJ419" s="344"/>
      <c r="BK419" s="344"/>
      <c r="BL419" s="344"/>
      <c r="BO419" s="344"/>
      <c r="BP419" s="344"/>
    </row>
    <row r="420" spans="54:68">
      <c r="BB420" s="794">
        <v>30872</v>
      </c>
      <c r="BC420" s="344" t="str">
        <f t="shared" si="6"/>
        <v>札幌市白石区米里二条</v>
      </c>
      <c r="BD420" s="56" t="s">
        <v>574</v>
      </c>
      <c r="BE420" s="303" t="s">
        <v>929</v>
      </c>
      <c r="BF420" s="344"/>
      <c r="BG420" s="344"/>
      <c r="BH420" s="344"/>
      <c r="BI420" s="344"/>
      <c r="BJ420" s="344"/>
      <c r="BK420" s="344"/>
      <c r="BL420" s="344"/>
      <c r="BO420" s="344"/>
      <c r="BP420" s="344"/>
    </row>
    <row r="421" spans="54:68">
      <c r="BB421" s="794">
        <v>30873</v>
      </c>
      <c r="BC421" s="344" t="str">
        <f t="shared" si="6"/>
        <v>札幌市白石区米里三条</v>
      </c>
      <c r="BD421" s="56" t="s">
        <v>574</v>
      </c>
      <c r="BE421" s="303" t="s">
        <v>930</v>
      </c>
      <c r="BF421" s="344"/>
      <c r="BG421" s="344"/>
      <c r="BH421" s="344"/>
      <c r="BI421" s="344"/>
      <c r="BJ421" s="344"/>
      <c r="BK421" s="344"/>
      <c r="BL421" s="344"/>
      <c r="BO421" s="344"/>
      <c r="BP421" s="344"/>
    </row>
    <row r="422" spans="54:68">
      <c r="BB422" s="794">
        <v>30874</v>
      </c>
      <c r="BC422" s="344" t="str">
        <f t="shared" si="6"/>
        <v>札幌市白石区米里四条</v>
      </c>
      <c r="BD422" s="56" t="s">
        <v>574</v>
      </c>
      <c r="BE422" s="303" t="s">
        <v>931</v>
      </c>
      <c r="BF422" s="344"/>
      <c r="BG422" s="344"/>
      <c r="BH422" s="344"/>
      <c r="BI422" s="344"/>
      <c r="BJ422" s="344"/>
      <c r="BK422" s="344"/>
      <c r="BL422" s="344"/>
      <c r="BO422" s="344"/>
      <c r="BP422" s="344"/>
    </row>
    <row r="423" spans="54:68">
      <c r="BB423" s="794">
        <v>30875</v>
      </c>
      <c r="BC423" s="344" t="str">
        <f t="shared" si="6"/>
        <v>札幌市白石区米里五条</v>
      </c>
      <c r="BD423" s="56" t="s">
        <v>574</v>
      </c>
      <c r="BE423" s="303" t="s">
        <v>932</v>
      </c>
      <c r="BF423" s="344"/>
      <c r="BG423" s="344"/>
      <c r="BH423" s="344"/>
      <c r="BI423" s="344"/>
      <c r="BJ423" s="344"/>
      <c r="BK423" s="344"/>
      <c r="BL423" s="344"/>
      <c r="BO423" s="344"/>
      <c r="BP423" s="344"/>
    </row>
    <row r="424" spans="54:68">
      <c r="BB424" s="794">
        <v>30030</v>
      </c>
      <c r="BC424" s="344" t="str">
        <f t="shared" si="6"/>
        <v>札幌市白石区流通センター</v>
      </c>
      <c r="BD424" s="56" t="s">
        <v>574</v>
      </c>
      <c r="BE424" s="303" t="s">
        <v>933</v>
      </c>
      <c r="BF424" s="344"/>
      <c r="BG424" s="344"/>
      <c r="BH424" s="344"/>
      <c r="BI424" s="344"/>
      <c r="BJ424" s="344"/>
      <c r="BK424" s="344"/>
      <c r="BL424" s="344"/>
      <c r="BO424" s="344"/>
      <c r="BP424" s="344"/>
    </row>
    <row r="425" spans="54:68">
      <c r="BB425" s="794">
        <v>620000</v>
      </c>
      <c r="BC425" s="344" t="str">
        <f t="shared" si="6"/>
        <v>札幌市豊平区</v>
      </c>
      <c r="BD425" s="56" t="s">
        <v>575</v>
      </c>
      <c r="BE425" s="303"/>
      <c r="BF425" s="344"/>
      <c r="BG425" s="344"/>
      <c r="BH425" s="344"/>
      <c r="BI425" s="344"/>
      <c r="BJ425" s="344"/>
      <c r="BK425" s="344"/>
      <c r="BL425" s="344"/>
      <c r="BO425" s="344"/>
      <c r="BP425" s="344"/>
    </row>
    <row r="426" spans="54:68">
      <c r="BB426" s="794">
        <v>620911</v>
      </c>
      <c r="BC426" s="344" t="str">
        <f t="shared" si="6"/>
        <v>札幌市豊平区旭町</v>
      </c>
      <c r="BD426" s="56" t="s">
        <v>575</v>
      </c>
      <c r="BE426" s="303" t="s">
        <v>934</v>
      </c>
      <c r="BF426" s="344"/>
      <c r="BG426" s="344"/>
      <c r="BH426" s="344"/>
      <c r="BI426" s="344"/>
      <c r="BJ426" s="344"/>
      <c r="BK426" s="344"/>
      <c r="BL426" s="344"/>
      <c r="BO426" s="344"/>
      <c r="BP426" s="344"/>
    </row>
    <row r="427" spans="54:68">
      <c r="BB427" s="794">
        <v>620912</v>
      </c>
      <c r="BC427" s="344" t="str">
        <f t="shared" si="6"/>
        <v>札幌市豊平区水車町</v>
      </c>
      <c r="BD427" s="56" t="s">
        <v>575</v>
      </c>
      <c r="BE427" s="303" t="s">
        <v>935</v>
      </c>
      <c r="BF427" s="344"/>
      <c r="BG427" s="344"/>
      <c r="BH427" s="344"/>
      <c r="BI427" s="344"/>
      <c r="BJ427" s="344"/>
      <c r="BK427" s="344"/>
      <c r="BL427" s="344"/>
      <c r="BO427" s="344"/>
      <c r="BP427" s="344"/>
    </row>
    <row r="428" spans="54:68">
      <c r="BB428" s="794">
        <v>620020</v>
      </c>
      <c r="BC428" s="344" t="str">
        <f t="shared" si="6"/>
        <v>札幌市豊平区月寒中央通</v>
      </c>
      <c r="BD428" s="56" t="s">
        <v>575</v>
      </c>
      <c r="BE428" s="303" t="s">
        <v>936</v>
      </c>
      <c r="BF428" s="344"/>
      <c r="BG428" s="344"/>
      <c r="BH428" s="344"/>
      <c r="BI428" s="344"/>
      <c r="BJ428" s="344"/>
      <c r="BK428" s="344"/>
      <c r="BL428" s="344"/>
      <c r="BO428" s="344"/>
      <c r="BP428" s="344"/>
    </row>
    <row r="429" spans="54:68">
      <c r="BB429" s="794">
        <v>620021</v>
      </c>
      <c r="BC429" s="344" t="str">
        <f t="shared" si="6"/>
        <v>札幌市豊平区月寒西一条</v>
      </c>
      <c r="BD429" s="56" t="s">
        <v>575</v>
      </c>
      <c r="BE429" s="303" t="s">
        <v>937</v>
      </c>
      <c r="BF429" s="344"/>
      <c r="BG429" s="344"/>
      <c r="BH429" s="344"/>
      <c r="BI429" s="344"/>
      <c r="BJ429" s="344"/>
      <c r="BK429" s="344"/>
      <c r="BL429" s="344"/>
      <c r="BO429" s="344"/>
      <c r="BP429" s="344"/>
    </row>
    <row r="430" spans="54:68">
      <c r="BB430" s="794">
        <v>620022</v>
      </c>
      <c r="BC430" s="344" t="str">
        <f t="shared" si="6"/>
        <v>札幌市豊平区月寒西二条</v>
      </c>
      <c r="BD430" s="56" t="s">
        <v>575</v>
      </c>
      <c r="BE430" s="303" t="s">
        <v>938</v>
      </c>
      <c r="BF430" s="344"/>
      <c r="BG430" s="344"/>
      <c r="BH430" s="344"/>
      <c r="BI430" s="344"/>
      <c r="BJ430" s="344"/>
      <c r="BK430" s="344"/>
      <c r="BL430" s="344"/>
      <c r="BO430" s="344"/>
      <c r="BP430" s="344"/>
    </row>
    <row r="431" spans="54:68">
      <c r="BB431" s="794">
        <v>620023</v>
      </c>
      <c r="BC431" s="344" t="str">
        <f t="shared" si="6"/>
        <v>札幌市豊平区月寒西三条</v>
      </c>
      <c r="BD431" s="56" t="s">
        <v>575</v>
      </c>
      <c r="BE431" s="303" t="s">
        <v>939</v>
      </c>
      <c r="BF431" s="344"/>
      <c r="BG431" s="344"/>
      <c r="BH431" s="344"/>
      <c r="BI431" s="344"/>
      <c r="BJ431" s="344"/>
      <c r="BK431" s="344"/>
      <c r="BL431" s="344"/>
      <c r="BO431" s="344"/>
      <c r="BP431" s="344"/>
    </row>
    <row r="432" spans="54:68">
      <c r="BB432" s="794">
        <v>620024</v>
      </c>
      <c r="BC432" s="344" t="str">
        <f t="shared" si="6"/>
        <v>札幌市豊平区月寒西四条</v>
      </c>
      <c r="BD432" s="56" t="s">
        <v>575</v>
      </c>
      <c r="BE432" s="303" t="s">
        <v>940</v>
      </c>
      <c r="BF432" s="344"/>
      <c r="BG432" s="344"/>
      <c r="BH432" s="344"/>
      <c r="BI432" s="344"/>
      <c r="BJ432" s="344"/>
      <c r="BK432" s="344"/>
      <c r="BL432" s="344"/>
      <c r="BO432" s="344"/>
      <c r="BP432" s="344"/>
    </row>
    <row r="433" spans="54:68">
      <c r="BB433" s="794">
        <v>620025</v>
      </c>
      <c r="BC433" s="344" t="str">
        <f t="shared" si="6"/>
        <v>札幌市豊平区月寒西五条</v>
      </c>
      <c r="BD433" s="56" t="s">
        <v>575</v>
      </c>
      <c r="BE433" s="303" t="s">
        <v>941</v>
      </c>
      <c r="BF433" s="344"/>
      <c r="BG433" s="344"/>
      <c r="BH433" s="344"/>
      <c r="BI433" s="344"/>
      <c r="BJ433" s="344"/>
      <c r="BK433" s="344"/>
      <c r="BL433" s="344"/>
      <c r="BO433" s="344"/>
      <c r="BP433" s="344"/>
    </row>
    <row r="434" spans="54:68">
      <c r="BB434" s="794">
        <v>620051</v>
      </c>
      <c r="BC434" s="344" t="str">
        <f t="shared" si="6"/>
        <v>札幌市豊平区月寒東一条</v>
      </c>
      <c r="BD434" s="56" t="s">
        <v>575</v>
      </c>
      <c r="BE434" s="303" t="s">
        <v>942</v>
      </c>
      <c r="BF434" s="344"/>
      <c r="BG434" s="344"/>
      <c r="BH434" s="344"/>
      <c r="BI434" s="344"/>
      <c r="BJ434" s="344"/>
      <c r="BK434" s="344"/>
      <c r="BL434" s="344"/>
      <c r="BO434" s="344"/>
      <c r="BP434" s="344"/>
    </row>
    <row r="435" spans="54:68">
      <c r="BB435" s="794">
        <v>620052</v>
      </c>
      <c r="BC435" s="344" t="str">
        <f t="shared" si="6"/>
        <v>札幌市豊平区月寒東二条</v>
      </c>
      <c r="BD435" s="56" t="s">
        <v>575</v>
      </c>
      <c r="BE435" s="303" t="s">
        <v>943</v>
      </c>
      <c r="BF435" s="344"/>
      <c r="BG435" s="344"/>
      <c r="BH435" s="344"/>
      <c r="BI435" s="344"/>
      <c r="BJ435" s="344"/>
      <c r="BK435" s="344"/>
      <c r="BL435" s="344"/>
      <c r="BO435" s="344"/>
      <c r="BP435" s="344"/>
    </row>
    <row r="436" spans="54:68">
      <c r="BB436" s="794">
        <v>620053</v>
      </c>
      <c r="BC436" s="344" t="str">
        <f t="shared" si="6"/>
        <v>札幌市豊平区月寒東三条</v>
      </c>
      <c r="BD436" s="56" t="s">
        <v>575</v>
      </c>
      <c r="BE436" s="303" t="s">
        <v>944</v>
      </c>
      <c r="BF436" s="344"/>
      <c r="BG436" s="344"/>
      <c r="BH436" s="344"/>
      <c r="BI436" s="344"/>
      <c r="BJ436" s="344"/>
      <c r="BK436" s="344"/>
      <c r="BL436" s="344"/>
      <c r="BO436" s="344"/>
      <c r="BP436" s="344"/>
    </row>
    <row r="437" spans="54:68">
      <c r="BB437" s="794">
        <v>620054</v>
      </c>
      <c r="BC437" s="344" t="str">
        <f t="shared" si="6"/>
        <v>札幌市豊平区月寒東四条</v>
      </c>
      <c r="BD437" s="56" t="s">
        <v>575</v>
      </c>
      <c r="BE437" s="303" t="s">
        <v>945</v>
      </c>
      <c r="BF437" s="344"/>
      <c r="BG437" s="344"/>
      <c r="BH437" s="344"/>
      <c r="BI437" s="344"/>
      <c r="BJ437" s="344"/>
      <c r="BK437" s="344"/>
      <c r="BL437" s="344"/>
      <c r="BO437" s="344"/>
      <c r="BP437" s="344"/>
    </row>
    <row r="438" spans="54:68">
      <c r="BB438" s="794">
        <v>620055</v>
      </c>
      <c r="BC438" s="344" t="str">
        <f t="shared" si="6"/>
        <v>札幌市豊平区月寒東五条</v>
      </c>
      <c r="BD438" s="56" t="s">
        <v>575</v>
      </c>
      <c r="BE438" s="303" t="s">
        <v>946</v>
      </c>
      <c r="BF438" s="344"/>
      <c r="BG438" s="344"/>
      <c r="BH438" s="344"/>
      <c r="BI438" s="344"/>
      <c r="BJ438" s="344"/>
      <c r="BK438" s="344"/>
      <c r="BL438" s="344"/>
      <c r="BO438" s="344"/>
      <c r="BP438" s="344"/>
    </row>
    <row r="439" spans="54:68">
      <c r="BB439" s="794">
        <v>620901</v>
      </c>
      <c r="BC439" s="344" t="str">
        <f t="shared" si="6"/>
        <v>札幌市豊平区豊平一条</v>
      </c>
      <c r="BD439" s="56" t="s">
        <v>575</v>
      </c>
      <c r="BE439" s="303" t="s">
        <v>947</v>
      </c>
      <c r="BF439" s="344"/>
      <c r="BG439" s="344"/>
      <c r="BH439" s="344"/>
      <c r="BI439" s="344"/>
      <c r="BJ439" s="344"/>
      <c r="BK439" s="344"/>
      <c r="BL439" s="344"/>
      <c r="BO439" s="344"/>
      <c r="BP439" s="344"/>
    </row>
    <row r="440" spans="54:68">
      <c r="BB440" s="794">
        <v>620902</v>
      </c>
      <c r="BC440" s="344" t="str">
        <f t="shared" si="6"/>
        <v>札幌市豊平区豊平二条</v>
      </c>
      <c r="BD440" s="56" t="s">
        <v>575</v>
      </c>
      <c r="BE440" s="303" t="s">
        <v>948</v>
      </c>
      <c r="BF440" s="344"/>
      <c r="BG440" s="344"/>
      <c r="BH440" s="344"/>
      <c r="BI440" s="344"/>
      <c r="BJ440" s="344"/>
      <c r="BK440" s="344"/>
      <c r="BL440" s="344"/>
      <c r="BO440" s="344"/>
      <c r="BP440" s="344"/>
    </row>
    <row r="441" spans="54:68">
      <c r="BB441" s="794">
        <v>620903</v>
      </c>
      <c r="BC441" s="344" t="str">
        <f t="shared" si="6"/>
        <v>札幌市豊平区豊平三条</v>
      </c>
      <c r="BD441" s="56" t="s">
        <v>575</v>
      </c>
      <c r="BE441" s="303" t="s">
        <v>949</v>
      </c>
      <c r="BF441" s="344"/>
      <c r="BG441" s="344"/>
      <c r="BH441" s="344"/>
      <c r="BI441" s="344"/>
      <c r="BJ441" s="344"/>
      <c r="BK441" s="344"/>
      <c r="BL441" s="344"/>
      <c r="BO441" s="344"/>
      <c r="BP441" s="344"/>
    </row>
    <row r="442" spans="54:68">
      <c r="BB442" s="794">
        <v>620904</v>
      </c>
      <c r="BC442" s="344" t="str">
        <f t="shared" si="6"/>
        <v>札幌市豊平区豊平四条</v>
      </c>
      <c r="BD442" s="56" t="s">
        <v>575</v>
      </c>
      <c r="BE442" s="303" t="s">
        <v>950</v>
      </c>
      <c r="BF442" s="344"/>
      <c r="BG442" s="344"/>
      <c r="BH442" s="344"/>
      <c r="BI442" s="344"/>
      <c r="BJ442" s="344"/>
      <c r="BK442" s="344"/>
      <c r="BL442" s="344"/>
      <c r="BO442" s="344"/>
      <c r="BP442" s="344"/>
    </row>
    <row r="443" spans="54:68">
      <c r="BB443" s="794">
        <v>620905</v>
      </c>
      <c r="BC443" s="344" t="str">
        <f t="shared" si="6"/>
        <v>札幌市豊平区豊平五条</v>
      </c>
      <c r="BD443" s="56" t="s">
        <v>575</v>
      </c>
      <c r="BE443" s="303" t="s">
        <v>951</v>
      </c>
      <c r="BF443" s="344"/>
      <c r="BG443" s="344"/>
      <c r="BH443" s="344"/>
      <c r="BI443" s="344"/>
      <c r="BJ443" s="344"/>
      <c r="BK443" s="344"/>
      <c r="BL443" s="344"/>
      <c r="BO443" s="344"/>
      <c r="BP443" s="344"/>
    </row>
    <row r="444" spans="54:68">
      <c r="BB444" s="794">
        <v>620906</v>
      </c>
      <c r="BC444" s="344" t="str">
        <f t="shared" si="6"/>
        <v>札幌市豊平区豊平六条</v>
      </c>
      <c r="BD444" s="56" t="s">
        <v>575</v>
      </c>
      <c r="BE444" s="303" t="s">
        <v>952</v>
      </c>
      <c r="BF444" s="344"/>
      <c r="BG444" s="344"/>
      <c r="BH444" s="344"/>
      <c r="BI444" s="344"/>
      <c r="BJ444" s="344"/>
      <c r="BK444" s="344"/>
      <c r="BL444" s="344"/>
      <c r="BO444" s="344"/>
      <c r="BP444" s="344"/>
    </row>
    <row r="445" spans="54:68">
      <c r="BB445" s="794">
        <v>620907</v>
      </c>
      <c r="BC445" s="344" t="str">
        <f t="shared" si="6"/>
        <v>札幌市豊平区豊平七条</v>
      </c>
      <c r="BD445" s="56" t="s">
        <v>575</v>
      </c>
      <c r="BE445" s="303" t="s">
        <v>953</v>
      </c>
      <c r="BF445" s="344"/>
      <c r="BG445" s="344"/>
      <c r="BH445" s="344"/>
      <c r="BI445" s="344"/>
      <c r="BJ445" s="344"/>
      <c r="BK445" s="344"/>
      <c r="BL445" s="344"/>
      <c r="BO445" s="344"/>
      <c r="BP445" s="344"/>
    </row>
    <row r="446" spans="54:68">
      <c r="BB446" s="794">
        <v>620908</v>
      </c>
      <c r="BC446" s="344" t="str">
        <f t="shared" si="6"/>
        <v>札幌市豊平区豊平八条</v>
      </c>
      <c r="BD446" s="56" t="s">
        <v>575</v>
      </c>
      <c r="BE446" s="303" t="s">
        <v>954</v>
      </c>
      <c r="BF446" s="344"/>
      <c r="BG446" s="344"/>
      <c r="BH446" s="344"/>
      <c r="BI446" s="344"/>
      <c r="BJ446" s="344"/>
      <c r="BK446" s="344"/>
      <c r="BL446" s="344"/>
      <c r="BO446" s="344"/>
      <c r="BP446" s="344"/>
    </row>
    <row r="447" spans="54:68">
      <c r="BB447" s="794">
        <v>620909</v>
      </c>
      <c r="BC447" s="344" t="str">
        <f t="shared" ref="BC447:BC510" si="7">BD447&amp;BE447</f>
        <v>札幌市豊平区豊平九条</v>
      </c>
      <c r="BD447" s="56" t="s">
        <v>575</v>
      </c>
      <c r="BE447" s="303" t="s">
        <v>955</v>
      </c>
      <c r="BF447" s="344"/>
      <c r="BG447" s="344"/>
      <c r="BH447" s="344"/>
      <c r="BI447" s="344"/>
      <c r="BJ447" s="344"/>
      <c r="BK447" s="344"/>
      <c r="BL447" s="344"/>
      <c r="BO447" s="344"/>
      <c r="BP447" s="344"/>
    </row>
    <row r="448" spans="54:68">
      <c r="BB448" s="794">
        <v>620921</v>
      </c>
      <c r="BC448" s="344" t="str">
        <f t="shared" si="7"/>
        <v>札幌市豊平区中の島一条</v>
      </c>
      <c r="BD448" s="56" t="s">
        <v>575</v>
      </c>
      <c r="BE448" s="303" t="s">
        <v>956</v>
      </c>
      <c r="BF448" s="344"/>
      <c r="BG448" s="344"/>
      <c r="BH448" s="344"/>
      <c r="BI448" s="344"/>
      <c r="BJ448" s="344"/>
      <c r="BK448" s="344"/>
      <c r="BL448" s="344"/>
      <c r="BO448" s="344"/>
      <c r="BP448" s="344"/>
    </row>
    <row r="449" spans="54:68">
      <c r="BB449" s="794">
        <v>620922</v>
      </c>
      <c r="BC449" s="344" t="str">
        <f t="shared" si="7"/>
        <v>札幌市豊平区中の島二条</v>
      </c>
      <c r="BD449" s="56" t="s">
        <v>575</v>
      </c>
      <c r="BE449" s="303" t="s">
        <v>957</v>
      </c>
      <c r="BF449" s="344"/>
      <c r="BG449" s="344"/>
      <c r="BH449" s="344"/>
      <c r="BI449" s="344"/>
      <c r="BJ449" s="344"/>
      <c r="BK449" s="344"/>
      <c r="BL449" s="344"/>
      <c r="BO449" s="344"/>
      <c r="BP449" s="344"/>
    </row>
    <row r="450" spans="54:68">
      <c r="BB450" s="794">
        <v>620039</v>
      </c>
      <c r="BC450" s="344" t="str">
        <f t="shared" si="7"/>
        <v>札幌市豊平区西岡</v>
      </c>
      <c r="BD450" s="56" t="s">
        <v>575</v>
      </c>
      <c r="BE450" s="303" t="s">
        <v>958</v>
      </c>
      <c r="BF450" s="344"/>
      <c r="BG450" s="344"/>
      <c r="BH450" s="344"/>
      <c r="BI450" s="344"/>
      <c r="BJ450" s="344"/>
      <c r="BK450" s="344"/>
      <c r="BL450" s="344"/>
      <c r="BO450" s="344"/>
      <c r="BP450" s="344"/>
    </row>
    <row r="451" spans="54:68">
      <c r="BB451" s="794">
        <v>620031</v>
      </c>
      <c r="BC451" s="344" t="str">
        <f t="shared" si="7"/>
        <v>札幌市豊平区西岡一条</v>
      </c>
      <c r="BD451" s="56" t="s">
        <v>575</v>
      </c>
      <c r="BE451" s="303" t="s">
        <v>959</v>
      </c>
      <c r="BF451" s="344"/>
      <c r="BG451" s="344"/>
      <c r="BH451" s="344"/>
      <c r="BI451" s="344"/>
      <c r="BJ451" s="344"/>
      <c r="BK451" s="344"/>
      <c r="BL451" s="344"/>
      <c r="BO451" s="344"/>
      <c r="BP451" s="344"/>
    </row>
    <row r="452" spans="54:68">
      <c r="BB452" s="794">
        <v>620032</v>
      </c>
      <c r="BC452" s="344" t="str">
        <f t="shared" si="7"/>
        <v>札幌市豊平区西岡二条</v>
      </c>
      <c r="BD452" s="56" t="s">
        <v>575</v>
      </c>
      <c r="BE452" s="303" t="s">
        <v>960</v>
      </c>
      <c r="BF452" s="344"/>
      <c r="BG452" s="344"/>
      <c r="BH452" s="344"/>
      <c r="BI452" s="344"/>
      <c r="BJ452" s="344"/>
      <c r="BK452" s="344"/>
      <c r="BL452" s="344"/>
      <c r="BO452" s="344"/>
      <c r="BP452" s="344"/>
    </row>
    <row r="453" spans="54:68">
      <c r="BB453" s="794">
        <v>620033</v>
      </c>
      <c r="BC453" s="344" t="str">
        <f t="shared" si="7"/>
        <v>札幌市豊平区西岡三条</v>
      </c>
      <c r="BD453" s="56" t="s">
        <v>575</v>
      </c>
      <c r="BE453" s="303" t="s">
        <v>961</v>
      </c>
      <c r="BF453" s="344"/>
      <c r="BG453" s="344"/>
      <c r="BH453" s="344"/>
      <c r="BI453" s="344"/>
      <c r="BJ453" s="344"/>
      <c r="BK453" s="344"/>
      <c r="BL453" s="344"/>
      <c r="BO453" s="344"/>
      <c r="BP453" s="344"/>
    </row>
    <row r="454" spans="54:68">
      <c r="BB454" s="794">
        <v>620034</v>
      </c>
      <c r="BC454" s="344" t="str">
        <f t="shared" si="7"/>
        <v>札幌市豊平区西岡四条</v>
      </c>
      <c r="BD454" s="56" t="s">
        <v>575</v>
      </c>
      <c r="BE454" s="303" t="s">
        <v>962</v>
      </c>
      <c r="BF454" s="344"/>
      <c r="BG454" s="344"/>
      <c r="BH454" s="344"/>
      <c r="BI454" s="344"/>
      <c r="BJ454" s="344"/>
      <c r="BK454" s="344"/>
      <c r="BL454" s="344"/>
      <c r="BO454" s="344"/>
      <c r="BP454" s="344"/>
    </row>
    <row r="455" spans="54:68">
      <c r="BB455" s="794">
        <v>620035</v>
      </c>
      <c r="BC455" s="344" t="str">
        <f t="shared" si="7"/>
        <v>札幌市豊平区西岡五条</v>
      </c>
      <c r="BD455" s="56" t="s">
        <v>575</v>
      </c>
      <c r="BE455" s="303" t="s">
        <v>963</v>
      </c>
      <c r="BF455" s="344"/>
      <c r="BG455" s="344"/>
      <c r="BH455" s="344"/>
      <c r="BI455" s="344"/>
      <c r="BJ455" s="344"/>
      <c r="BK455" s="344"/>
      <c r="BL455" s="344"/>
      <c r="BO455" s="344"/>
      <c r="BP455" s="344"/>
    </row>
    <row r="456" spans="54:68">
      <c r="BB456" s="794">
        <v>620045</v>
      </c>
      <c r="BC456" s="344" t="str">
        <f t="shared" si="7"/>
        <v>札幌市豊平区羊ケ丘</v>
      </c>
      <c r="BD456" s="56" t="s">
        <v>575</v>
      </c>
      <c r="BE456" s="303" t="s">
        <v>964</v>
      </c>
      <c r="BF456" s="344"/>
      <c r="BG456" s="344"/>
      <c r="BH456" s="344"/>
      <c r="BI456" s="344"/>
      <c r="BJ456" s="344"/>
      <c r="BK456" s="344"/>
      <c r="BL456" s="344"/>
      <c r="BO456" s="344"/>
      <c r="BP456" s="344"/>
    </row>
    <row r="457" spans="54:68">
      <c r="BB457" s="794">
        <v>620931</v>
      </c>
      <c r="BC457" s="344" t="str">
        <f t="shared" si="7"/>
        <v>札幌市豊平区平岸一条</v>
      </c>
      <c r="BD457" s="56" t="s">
        <v>575</v>
      </c>
      <c r="BE457" s="303" t="s">
        <v>965</v>
      </c>
      <c r="BF457" s="344"/>
      <c r="BG457" s="344"/>
      <c r="BH457" s="344"/>
      <c r="BI457" s="344"/>
      <c r="BJ457" s="344"/>
      <c r="BK457" s="344"/>
      <c r="BL457" s="344"/>
      <c r="BO457" s="344"/>
      <c r="BP457" s="344"/>
    </row>
    <row r="458" spans="54:68">
      <c r="BB458" s="794">
        <v>620932</v>
      </c>
      <c r="BC458" s="344" t="str">
        <f t="shared" si="7"/>
        <v>札幌市豊平区平岸二条</v>
      </c>
      <c r="BD458" s="56" t="s">
        <v>575</v>
      </c>
      <c r="BE458" s="303" t="s">
        <v>966</v>
      </c>
      <c r="BF458" s="344"/>
      <c r="BG458" s="344"/>
      <c r="BH458" s="344"/>
      <c r="BI458" s="344"/>
      <c r="BJ458" s="344"/>
      <c r="BK458" s="344"/>
      <c r="BL458" s="344"/>
      <c r="BO458" s="344"/>
      <c r="BP458" s="344"/>
    </row>
    <row r="459" spans="54:68">
      <c r="BB459" s="794">
        <v>620933</v>
      </c>
      <c r="BC459" s="344" t="str">
        <f t="shared" si="7"/>
        <v>札幌市豊平区平岸三条</v>
      </c>
      <c r="BD459" s="56" t="s">
        <v>575</v>
      </c>
      <c r="BE459" s="303" t="s">
        <v>967</v>
      </c>
      <c r="BF459" s="344"/>
      <c r="BG459" s="344"/>
      <c r="BH459" s="344"/>
      <c r="BI459" s="344"/>
      <c r="BJ459" s="344"/>
      <c r="BK459" s="344"/>
      <c r="BL459" s="344"/>
      <c r="BO459" s="344"/>
      <c r="BP459" s="344"/>
    </row>
    <row r="460" spans="54:68">
      <c r="BB460" s="794">
        <v>620934</v>
      </c>
      <c r="BC460" s="344" t="str">
        <f t="shared" si="7"/>
        <v>札幌市豊平区平岸四条</v>
      </c>
      <c r="BD460" s="56" t="s">
        <v>575</v>
      </c>
      <c r="BE460" s="303" t="s">
        <v>968</v>
      </c>
      <c r="BF460" s="344"/>
      <c r="BG460" s="344"/>
      <c r="BH460" s="344"/>
      <c r="BI460" s="344"/>
      <c r="BJ460" s="344"/>
      <c r="BK460" s="344"/>
      <c r="BL460" s="344"/>
      <c r="BO460" s="344"/>
      <c r="BP460" s="344"/>
    </row>
    <row r="461" spans="54:68">
      <c r="BB461" s="794">
        <v>620935</v>
      </c>
      <c r="BC461" s="344" t="str">
        <f t="shared" si="7"/>
        <v>札幌市豊平区平岸五条</v>
      </c>
      <c r="BD461" s="56" t="s">
        <v>575</v>
      </c>
      <c r="BE461" s="303" t="s">
        <v>969</v>
      </c>
      <c r="BF461" s="344"/>
      <c r="BG461" s="344"/>
      <c r="BH461" s="344"/>
      <c r="BI461" s="344"/>
      <c r="BJ461" s="344"/>
      <c r="BK461" s="344"/>
      <c r="BL461" s="344"/>
      <c r="BO461" s="344"/>
      <c r="BP461" s="344"/>
    </row>
    <row r="462" spans="54:68">
      <c r="BB462" s="794">
        <v>620936</v>
      </c>
      <c r="BC462" s="344" t="str">
        <f t="shared" si="7"/>
        <v>札幌市豊平区平岸六条</v>
      </c>
      <c r="BD462" s="56" t="s">
        <v>575</v>
      </c>
      <c r="BE462" s="303" t="s">
        <v>970</v>
      </c>
      <c r="BF462" s="344"/>
      <c r="BG462" s="344"/>
      <c r="BH462" s="344"/>
      <c r="BI462" s="344"/>
      <c r="BJ462" s="344"/>
      <c r="BK462" s="344"/>
      <c r="BL462" s="344"/>
      <c r="BO462" s="344"/>
      <c r="BP462" s="344"/>
    </row>
    <row r="463" spans="54:68">
      <c r="BB463" s="794">
        <v>620937</v>
      </c>
      <c r="BC463" s="344" t="str">
        <f t="shared" si="7"/>
        <v>札幌市豊平区平岸七条</v>
      </c>
      <c r="BD463" s="56" t="s">
        <v>575</v>
      </c>
      <c r="BE463" s="303" t="s">
        <v>971</v>
      </c>
      <c r="BF463" s="344"/>
      <c r="BG463" s="344"/>
      <c r="BH463" s="344"/>
      <c r="BI463" s="344"/>
      <c r="BJ463" s="344"/>
      <c r="BK463" s="344"/>
      <c r="BL463" s="344"/>
      <c r="BO463" s="344"/>
      <c r="BP463" s="344"/>
    </row>
    <row r="464" spans="54:68">
      <c r="BB464" s="794">
        <v>620938</v>
      </c>
      <c r="BC464" s="344" t="str">
        <f t="shared" si="7"/>
        <v>札幌市豊平区平岸八条</v>
      </c>
      <c r="BD464" s="56" t="s">
        <v>575</v>
      </c>
      <c r="BE464" s="303" t="s">
        <v>972</v>
      </c>
      <c r="BF464" s="344"/>
      <c r="BG464" s="344"/>
      <c r="BH464" s="344"/>
      <c r="BI464" s="344"/>
      <c r="BJ464" s="344"/>
      <c r="BK464" s="344"/>
      <c r="BL464" s="344"/>
      <c r="BO464" s="344"/>
      <c r="BP464" s="344"/>
    </row>
    <row r="465" spans="54:68">
      <c r="BB465" s="794">
        <v>620041</v>
      </c>
      <c r="BC465" s="344" t="str">
        <f t="shared" si="7"/>
        <v>札幌市豊平区福住一条</v>
      </c>
      <c r="BD465" s="56" t="s">
        <v>575</v>
      </c>
      <c r="BE465" s="303" t="s">
        <v>973</v>
      </c>
      <c r="BF465" s="344"/>
      <c r="BG465" s="344"/>
      <c r="BH465" s="344"/>
      <c r="BI465" s="344"/>
      <c r="BJ465" s="344"/>
      <c r="BK465" s="344"/>
      <c r="BL465" s="344"/>
      <c r="BO465" s="344"/>
      <c r="BP465" s="344"/>
    </row>
    <row r="466" spans="54:68">
      <c r="BB466" s="794">
        <v>620042</v>
      </c>
      <c r="BC466" s="344" t="str">
        <f t="shared" si="7"/>
        <v>札幌市豊平区福住二条</v>
      </c>
      <c r="BD466" s="56" t="s">
        <v>575</v>
      </c>
      <c r="BE466" s="303" t="s">
        <v>974</v>
      </c>
      <c r="BF466" s="344"/>
      <c r="BG466" s="344"/>
      <c r="BH466" s="344"/>
      <c r="BI466" s="344"/>
      <c r="BJ466" s="344"/>
      <c r="BK466" s="344"/>
      <c r="BL466" s="344"/>
      <c r="BO466" s="344"/>
      <c r="BP466" s="344"/>
    </row>
    <row r="467" spans="54:68">
      <c r="BB467" s="794">
        <v>620043</v>
      </c>
      <c r="BC467" s="344" t="str">
        <f t="shared" si="7"/>
        <v>札幌市豊平区福住三条</v>
      </c>
      <c r="BD467" s="56" t="s">
        <v>575</v>
      </c>
      <c r="BE467" s="303" t="s">
        <v>975</v>
      </c>
      <c r="BF467" s="344"/>
      <c r="BG467" s="344"/>
      <c r="BH467" s="344"/>
      <c r="BI467" s="344"/>
      <c r="BJ467" s="344"/>
      <c r="BK467" s="344"/>
      <c r="BL467" s="344"/>
      <c r="BO467" s="344"/>
      <c r="BP467" s="344"/>
    </row>
    <row r="468" spans="54:68">
      <c r="BB468" s="794">
        <v>620001</v>
      </c>
      <c r="BC468" s="344" t="str">
        <f t="shared" si="7"/>
        <v>札幌市豊平区美園一条</v>
      </c>
      <c r="BD468" s="56" t="s">
        <v>575</v>
      </c>
      <c r="BE468" s="303" t="s">
        <v>976</v>
      </c>
      <c r="BF468" s="344"/>
      <c r="BG468" s="344"/>
      <c r="BH468" s="344"/>
      <c r="BI468" s="344"/>
      <c r="BJ468" s="344"/>
      <c r="BK468" s="344"/>
      <c r="BL468" s="344"/>
      <c r="BO468" s="344"/>
      <c r="BP468" s="344"/>
    </row>
    <row r="469" spans="54:68">
      <c r="BB469" s="794">
        <v>620002</v>
      </c>
      <c r="BC469" s="344" t="str">
        <f t="shared" si="7"/>
        <v>札幌市豊平区美園二条</v>
      </c>
      <c r="BD469" s="56" t="s">
        <v>575</v>
      </c>
      <c r="BE469" s="303" t="s">
        <v>977</v>
      </c>
      <c r="BF469" s="344"/>
      <c r="BG469" s="344"/>
      <c r="BH469" s="344"/>
      <c r="BI469" s="344"/>
      <c r="BJ469" s="344"/>
      <c r="BK469" s="344"/>
      <c r="BL469" s="344"/>
      <c r="BO469" s="344"/>
      <c r="BP469" s="344"/>
    </row>
    <row r="470" spans="54:68">
      <c r="BB470" s="794">
        <v>620003</v>
      </c>
      <c r="BC470" s="344" t="str">
        <f t="shared" si="7"/>
        <v>札幌市豊平区美園三条</v>
      </c>
      <c r="BD470" s="56" t="s">
        <v>575</v>
      </c>
      <c r="BE470" s="303" t="s">
        <v>978</v>
      </c>
      <c r="BF470" s="344"/>
      <c r="BG470" s="344"/>
      <c r="BH470" s="344"/>
      <c r="BI470" s="344"/>
      <c r="BJ470" s="344"/>
      <c r="BK470" s="344"/>
      <c r="BL470" s="344"/>
      <c r="BO470" s="344"/>
      <c r="BP470" s="344"/>
    </row>
    <row r="471" spans="54:68">
      <c r="BB471" s="794">
        <v>620004</v>
      </c>
      <c r="BC471" s="344" t="str">
        <f t="shared" si="7"/>
        <v>札幌市豊平区美園四条</v>
      </c>
      <c r="BD471" s="56" t="s">
        <v>575</v>
      </c>
      <c r="BE471" s="303" t="s">
        <v>979</v>
      </c>
      <c r="BF471" s="344"/>
      <c r="BG471" s="344"/>
      <c r="BH471" s="344"/>
      <c r="BI471" s="344"/>
      <c r="BJ471" s="344"/>
      <c r="BK471" s="344"/>
      <c r="BL471" s="344"/>
      <c r="BO471" s="344"/>
      <c r="BP471" s="344"/>
    </row>
    <row r="472" spans="54:68">
      <c r="BB472" s="794">
        <v>620005</v>
      </c>
      <c r="BC472" s="344" t="str">
        <f t="shared" si="7"/>
        <v>札幌市豊平区美園五条</v>
      </c>
      <c r="BD472" s="56" t="s">
        <v>575</v>
      </c>
      <c r="BE472" s="303" t="s">
        <v>980</v>
      </c>
      <c r="BF472" s="344"/>
      <c r="BG472" s="344"/>
      <c r="BH472" s="344"/>
      <c r="BI472" s="344"/>
      <c r="BJ472" s="344"/>
      <c r="BK472" s="344"/>
      <c r="BL472" s="344"/>
      <c r="BO472" s="344"/>
      <c r="BP472" s="344"/>
    </row>
    <row r="473" spans="54:68">
      <c r="BB473" s="794">
        <v>620006</v>
      </c>
      <c r="BC473" s="344" t="str">
        <f t="shared" si="7"/>
        <v>札幌市豊平区美園六条</v>
      </c>
      <c r="BD473" s="56" t="s">
        <v>575</v>
      </c>
      <c r="BE473" s="303" t="s">
        <v>981</v>
      </c>
      <c r="BF473" s="344"/>
      <c r="BG473" s="344"/>
      <c r="BH473" s="344"/>
      <c r="BI473" s="344"/>
      <c r="BJ473" s="344"/>
      <c r="BK473" s="344"/>
      <c r="BL473" s="344"/>
      <c r="BO473" s="344"/>
      <c r="BP473" s="344"/>
    </row>
    <row r="474" spans="54:68">
      <c r="BB474" s="794">
        <v>620007</v>
      </c>
      <c r="BC474" s="344" t="str">
        <f t="shared" si="7"/>
        <v>札幌市豊平区美園七条</v>
      </c>
      <c r="BD474" s="56" t="s">
        <v>575</v>
      </c>
      <c r="BE474" s="303" t="s">
        <v>982</v>
      </c>
      <c r="BF474" s="344"/>
      <c r="BG474" s="344"/>
      <c r="BH474" s="344"/>
      <c r="BI474" s="344"/>
      <c r="BJ474" s="344"/>
      <c r="BK474" s="344"/>
      <c r="BL474" s="344"/>
      <c r="BO474" s="344"/>
      <c r="BP474" s="344"/>
    </row>
    <row r="475" spans="54:68">
      <c r="BB475" s="794">
        <v>620008</v>
      </c>
      <c r="BC475" s="344" t="str">
        <f t="shared" si="7"/>
        <v>札幌市豊平区美園八条</v>
      </c>
      <c r="BD475" s="56" t="s">
        <v>575</v>
      </c>
      <c r="BE475" s="303" t="s">
        <v>983</v>
      </c>
      <c r="BF475" s="344"/>
      <c r="BG475" s="344"/>
      <c r="BH475" s="344"/>
      <c r="BI475" s="344"/>
      <c r="BJ475" s="344"/>
      <c r="BK475" s="344"/>
      <c r="BL475" s="344"/>
      <c r="BO475" s="344"/>
      <c r="BP475" s="344"/>
    </row>
    <row r="476" spans="54:68">
      <c r="BB476" s="794">
        <v>620009</v>
      </c>
      <c r="BC476" s="344" t="str">
        <f t="shared" si="7"/>
        <v>札幌市豊平区美園九条</v>
      </c>
      <c r="BD476" s="56" t="s">
        <v>575</v>
      </c>
      <c r="BE476" s="303" t="s">
        <v>984</v>
      </c>
      <c r="BF476" s="344"/>
      <c r="BG476" s="344"/>
      <c r="BH476" s="344"/>
      <c r="BI476" s="344"/>
      <c r="BJ476" s="344"/>
      <c r="BK476" s="344"/>
      <c r="BL476" s="344"/>
      <c r="BO476" s="344"/>
      <c r="BP476" s="344"/>
    </row>
    <row r="477" spans="54:68">
      <c r="BB477" s="794">
        <v>620010</v>
      </c>
      <c r="BC477" s="344" t="str">
        <f t="shared" si="7"/>
        <v>札幌市豊平区美園十条</v>
      </c>
      <c r="BD477" s="56" t="s">
        <v>575</v>
      </c>
      <c r="BE477" s="303" t="s">
        <v>985</v>
      </c>
      <c r="BF477" s="344"/>
      <c r="BG477" s="344"/>
      <c r="BH477" s="344"/>
      <c r="BI477" s="344"/>
      <c r="BJ477" s="344"/>
      <c r="BK477" s="344"/>
      <c r="BL477" s="344"/>
      <c r="BO477" s="344"/>
      <c r="BP477" s="344"/>
    </row>
    <row r="478" spans="54:68">
      <c r="BB478" s="794">
        <v>620011</v>
      </c>
      <c r="BC478" s="344" t="str">
        <f t="shared" si="7"/>
        <v>札幌市豊平区美園十一条</v>
      </c>
      <c r="BD478" s="56" t="s">
        <v>575</v>
      </c>
      <c r="BE478" s="303" t="s">
        <v>986</v>
      </c>
      <c r="BF478" s="344"/>
      <c r="BG478" s="344"/>
      <c r="BH478" s="344"/>
      <c r="BI478" s="344"/>
      <c r="BJ478" s="344"/>
      <c r="BK478" s="344"/>
      <c r="BL478" s="344"/>
      <c r="BO478" s="344"/>
      <c r="BP478" s="344"/>
    </row>
    <row r="479" spans="54:68">
      <c r="BB479" s="794">
        <v>620012</v>
      </c>
      <c r="BC479" s="344" t="str">
        <f t="shared" si="7"/>
        <v>札幌市豊平区美園十二条</v>
      </c>
      <c r="BD479" s="56" t="s">
        <v>575</v>
      </c>
      <c r="BE479" s="303" t="s">
        <v>987</v>
      </c>
      <c r="BF479" s="344"/>
      <c r="BG479" s="344"/>
      <c r="BH479" s="344"/>
      <c r="BI479" s="344"/>
      <c r="BJ479" s="344"/>
      <c r="BK479" s="344"/>
      <c r="BL479" s="344"/>
      <c r="BO479" s="344"/>
      <c r="BP479" s="344"/>
    </row>
    <row r="480" spans="54:68">
      <c r="BB480" s="794">
        <v>50000</v>
      </c>
      <c r="BC480" s="344" t="str">
        <f t="shared" si="7"/>
        <v>札幌市南区</v>
      </c>
      <c r="BD480" s="56" t="s">
        <v>576</v>
      </c>
      <c r="BE480" s="303"/>
      <c r="BF480" s="344"/>
      <c r="BG480" s="344"/>
      <c r="BH480" s="344"/>
      <c r="BI480" s="344"/>
      <c r="BJ480" s="344"/>
      <c r="BK480" s="344"/>
      <c r="BL480" s="344"/>
      <c r="BO480" s="344"/>
      <c r="BP480" s="344"/>
    </row>
    <row r="481" spans="54:68">
      <c r="BB481" s="794">
        <v>50849</v>
      </c>
      <c r="BC481" s="344" t="str">
        <f t="shared" si="7"/>
        <v>札幌市南区石山</v>
      </c>
      <c r="BD481" s="56" t="s">
        <v>576</v>
      </c>
      <c r="BE481" s="303" t="s">
        <v>988</v>
      </c>
      <c r="BF481" s="344"/>
      <c r="BG481" s="344"/>
      <c r="BH481" s="344"/>
      <c r="BI481" s="344"/>
      <c r="BJ481" s="344"/>
      <c r="BK481" s="344"/>
      <c r="BL481" s="344"/>
      <c r="BO481" s="344"/>
      <c r="BP481" s="344"/>
    </row>
    <row r="482" spans="54:68">
      <c r="BB482" s="794">
        <v>50850</v>
      </c>
      <c r="BC482" s="344" t="str">
        <f t="shared" si="7"/>
        <v>札幌市南区石山東</v>
      </c>
      <c r="BD482" s="56" t="s">
        <v>576</v>
      </c>
      <c r="BE482" s="303" t="s">
        <v>989</v>
      </c>
      <c r="BF482" s="344"/>
      <c r="BG482" s="344"/>
      <c r="BH482" s="344"/>
      <c r="BI482" s="344"/>
      <c r="BJ482" s="344"/>
      <c r="BK482" s="344"/>
      <c r="BL482" s="344"/>
      <c r="BO482" s="344"/>
      <c r="BP482" s="344"/>
    </row>
    <row r="483" spans="54:68">
      <c r="BB483" s="794">
        <v>50841</v>
      </c>
      <c r="BC483" s="344" t="str">
        <f t="shared" si="7"/>
        <v>札幌市南区石山一条</v>
      </c>
      <c r="BD483" s="56" t="s">
        <v>576</v>
      </c>
      <c r="BE483" s="303" t="s">
        <v>990</v>
      </c>
      <c r="BF483" s="344"/>
      <c r="BG483" s="344"/>
      <c r="BH483" s="344"/>
      <c r="BI483" s="344"/>
      <c r="BJ483" s="344"/>
      <c r="BK483" s="344"/>
      <c r="BL483" s="344"/>
      <c r="BO483" s="344"/>
      <c r="BP483" s="344"/>
    </row>
    <row r="484" spans="54:68">
      <c r="BB484" s="794">
        <v>50842</v>
      </c>
      <c r="BC484" s="344" t="str">
        <f t="shared" si="7"/>
        <v>札幌市南区石山二条</v>
      </c>
      <c r="BD484" s="56" t="s">
        <v>576</v>
      </c>
      <c r="BE484" s="303" t="s">
        <v>991</v>
      </c>
      <c r="BF484" s="344"/>
      <c r="BG484" s="344"/>
      <c r="BH484" s="344"/>
      <c r="BI484" s="344"/>
      <c r="BJ484" s="344"/>
      <c r="BK484" s="344"/>
      <c r="BL484" s="344"/>
      <c r="BO484" s="344"/>
      <c r="BP484" s="344"/>
    </row>
    <row r="485" spans="54:68">
      <c r="BB485" s="794">
        <v>50843</v>
      </c>
      <c r="BC485" s="344" t="str">
        <f t="shared" si="7"/>
        <v>札幌市南区石山三条</v>
      </c>
      <c r="BD485" s="56" t="s">
        <v>576</v>
      </c>
      <c r="BE485" s="303" t="s">
        <v>992</v>
      </c>
      <c r="BF485" s="344"/>
      <c r="BG485" s="344"/>
      <c r="BH485" s="344"/>
      <c r="BI485" s="344"/>
      <c r="BJ485" s="344"/>
      <c r="BK485" s="344"/>
      <c r="BL485" s="344"/>
      <c r="BO485" s="344"/>
      <c r="BP485" s="344"/>
    </row>
    <row r="486" spans="54:68">
      <c r="BB486" s="794">
        <v>50844</v>
      </c>
      <c r="BC486" s="344" t="str">
        <f t="shared" si="7"/>
        <v>札幌市南区石山四条</v>
      </c>
      <c r="BD486" s="56" t="s">
        <v>576</v>
      </c>
      <c r="BE486" s="303" t="s">
        <v>993</v>
      </c>
      <c r="BF486" s="344"/>
      <c r="BG486" s="344"/>
      <c r="BH486" s="344"/>
      <c r="BI486" s="344"/>
      <c r="BJ486" s="344"/>
      <c r="BK486" s="344"/>
      <c r="BL486" s="344"/>
      <c r="BO486" s="344"/>
      <c r="BP486" s="344"/>
    </row>
    <row r="487" spans="54:68">
      <c r="BB487" s="794">
        <v>50801</v>
      </c>
      <c r="BC487" s="344" t="str">
        <f t="shared" si="7"/>
        <v>札幌市南区川沿一条</v>
      </c>
      <c r="BD487" s="56" t="s">
        <v>576</v>
      </c>
      <c r="BE487" s="303" t="s">
        <v>994</v>
      </c>
      <c r="BF487" s="344"/>
      <c r="BG487" s="344"/>
      <c r="BH487" s="344"/>
      <c r="BI487" s="344"/>
      <c r="BJ487" s="344"/>
      <c r="BK487" s="344"/>
      <c r="BL487" s="344"/>
      <c r="BO487" s="344"/>
      <c r="BP487" s="344"/>
    </row>
    <row r="488" spans="54:68">
      <c r="BB488" s="794">
        <v>50802</v>
      </c>
      <c r="BC488" s="344" t="str">
        <f t="shared" si="7"/>
        <v>札幌市南区川沿二条</v>
      </c>
      <c r="BD488" s="56" t="s">
        <v>576</v>
      </c>
      <c r="BE488" s="303" t="s">
        <v>995</v>
      </c>
      <c r="BF488" s="344"/>
      <c r="BG488" s="344"/>
      <c r="BH488" s="344"/>
      <c r="BI488" s="344"/>
      <c r="BJ488" s="344"/>
      <c r="BK488" s="344"/>
      <c r="BL488" s="344"/>
      <c r="BO488" s="344"/>
      <c r="BP488" s="344"/>
    </row>
    <row r="489" spans="54:68">
      <c r="BB489" s="794">
        <v>50803</v>
      </c>
      <c r="BC489" s="344" t="str">
        <f t="shared" si="7"/>
        <v>札幌市南区川沿三条</v>
      </c>
      <c r="BD489" s="56" t="s">
        <v>576</v>
      </c>
      <c r="BE489" s="303" t="s">
        <v>996</v>
      </c>
      <c r="BF489" s="344"/>
      <c r="BG489" s="344"/>
      <c r="BH489" s="344"/>
      <c r="BI489" s="344"/>
      <c r="BJ489" s="344"/>
      <c r="BK489" s="344"/>
      <c r="BL489" s="344"/>
      <c r="BO489" s="344"/>
      <c r="BP489" s="344"/>
    </row>
    <row r="490" spans="54:68">
      <c r="BB490" s="794">
        <v>50804</v>
      </c>
      <c r="BC490" s="344" t="str">
        <f t="shared" si="7"/>
        <v>札幌市南区川沿四条</v>
      </c>
      <c r="BD490" s="56" t="s">
        <v>576</v>
      </c>
      <c r="BE490" s="303" t="s">
        <v>997</v>
      </c>
      <c r="BF490" s="344"/>
      <c r="BG490" s="344"/>
      <c r="BH490" s="344"/>
      <c r="BI490" s="344"/>
      <c r="BJ490" s="344"/>
      <c r="BK490" s="344"/>
      <c r="BL490" s="344"/>
      <c r="BO490" s="344"/>
      <c r="BP490" s="344"/>
    </row>
    <row r="491" spans="54:68">
      <c r="BB491" s="794">
        <v>50805</v>
      </c>
      <c r="BC491" s="344" t="str">
        <f t="shared" si="7"/>
        <v>札幌市南区川沿五条</v>
      </c>
      <c r="BD491" s="56" t="s">
        <v>576</v>
      </c>
      <c r="BE491" s="303" t="s">
        <v>998</v>
      </c>
      <c r="BF491" s="344"/>
      <c r="BG491" s="344"/>
      <c r="BH491" s="344"/>
      <c r="BI491" s="344"/>
      <c r="BJ491" s="344"/>
      <c r="BK491" s="344"/>
      <c r="BL491" s="344"/>
      <c r="BO491" s="344"/>
      <c r="BP491" s="344"/>
    </row>
    <row r="492" spans="54:68">
      <c r="BB492" s="794">
        <v>50806</v>
      </c>
      <c r="BC492" s="344" t="str">
        <f t="shared" si="7"/>
        <v>札幌市南区川沿六条</v>
      </c>
      <c r="BD492" s="56" t="s">
        <v>576</v>
      </c>
      <c r="BE492" s="303" t="s">
        <v>999</v>
      </c>
      <c r="BF492" s="344"/>
      <c r="BG492" s="344"/>
      <c r="BH492" s="344"/>
      <c r="BI492" s="344"/>
      <c r="BJ492" s="344"/>
      <c r="BK492" s="344"/>
      <c r="BL492" s="344"/>
      <c r="BO492" s="344"/>
      <c r="BP492" s="344"/>
    </row>
    <row r="493" spans="54:68">
      <c r="BB493" s="794">
        <v>50807</v>
      </c>
      <c r="BC493" s="344" t="str">
        <f t="shared" si="7"/>
        <v>札幌市南区川沿七条</v>
      </c>
      <c r="BD493" s="56" t="s">
        <v>576</v>
      </c>
      <c r="BE493" s="303" t="s">
        <v>1000</v>
      </c>
      <c r="BF493" s="344"/>
      <c r="BG493" s="344"/>
      <c r="BH493" s="344"/>
      <c r="BI493" s="344"/>
      <c r="BJ493" s="344"/>
      <c r="BK493" s="344"/>
      <c r="BL493" s="344"/>
      <c r="BO493" s="344"/>
      <c r="BP493" s="344"/>
    </row>
    <row r="494" spans="54:68">
      <c r="BB494" s="794">
        <v>50808</v>
      </c>
      <c r="BC494" s="344" t="str">
        <f t="shared" si="7"/>
        <v>札幌市南区川沿八条</v>
      </c>
      <c r="BD494" s="56" t="s">
        <v>576</v>
      </c>
      <c r="BE494" s="303" t="s">
        <v>1001</v>
      </c>
      <c r="BF494" s="344"/>
      <c r="BG494" s="344"/>
      <c r="BH494" s="344"/>
      <c r="BI494" s="344"/>
      <c r="BJ494" s="344"/>
      <c r="BK494" s="344"/>
      <c r="BL494" s="344"/>
      <c r="BO494" s="344"/>
      <c r="BP494" s="344"/>
    </row>
    <row r="495" spans="54:68">
      <c r="BB495" s="794">
        <v>50809</v>
      </c>
      <c r="BC495" s="344" t="str">
        <f t="shared" si="7"/>
        <v>札幌市南区川沿九条</v>
      </c>
      <c r="BD495" s="56" t="s">
        <v>576</v>
      </c>
      <c r="BE495" s="303" t="s">
        <v>1002</v>
      </c>
      <c r="BF495" s="344"/>
      <c r="BG495" s="344"/>
      <c r="BH495" s="344"/>
      <c r="BI495" s="344"/>
      <c r="BJ495" s="344"/>
      <c r="BK495" s="344"/>
      <c r="BL495" s="344"/>
      <c r="BO495" s="344"/>
      <c r="BP495" s="344"/>
    </row>
    <row r="496" spans="54:68">
      <c r="BB496" s="794">
        <v>50810</v>
      </c>
      <c r="BC496" s="344" t="str">
        <f t="shared" si="7"/>
        <v>札幌市南区川沿十条</v>
      </c>
      <c r="BD496" s="56" t="s">
        <v>576</v>
      </c>
      <c r="BE496" s="303" t="s">
        <v>1003</v>
      </c>
      <c r="BF496" s="344"/>
      <c r="BG496" s="344"/>
      <c r="BH496" s="344"/>
      <c r="BI496" s="344"/>
      <c r="BJ496" s="344"/>
      <c r="BK496" s="344"/>
      <c r="BL496" s="344"/>
      <c r="BO496" s="344"/>
      <c r="BP496" s="344"/>
    </row>
    <row r="497" spans="54:68">
      <c r="BB497" s="794">
        <v>50811</v>
      </c>
      <c r="BC497" s="344" t="str">
        <f t="shared" si="7"/>
        <v>札幌市南区川沿十一条</v>
      </c>
      <c r="BD497" s="56" t="s">
        <v>576</v>
      </c>
      <c r="BE497" s="303" t="s">
        <v>1004</v>
      </c>
      <c r="BF497" s="344"/>
      <c r="BG497" s="344"/>
      <c r="BH497" s="344"/>
      <c r="BI497" s="344"/>
      <c r="BJ497" s="344"/>
      <c r="BK497" s="344"/>
      <c r="BL497" s="344"/>
      <c r="BO497" s="344"/>
      <c r="BP497" s="344"/>
    </row>
    <row r="498" spans="54:68">
      <c r="BB498" s="794">
        <v>50812</v>
      </c>
      <c r="BC498" s="344" t="str">
        <f t="shared" si="7"/>
        <v>札幌市南区川沿十二条</v>
      </c>
      <c r="BD498" s="56" t="s">
        <v>576</v>
      </c>
      <c r="BE498" s="303" t="s">
        <v>1005</v>
      </c>
      <c r="BF498" s="344"/>
      <c r="BG498" s="344"/>
      <c r="BH498" s="344"/>
      <c r="BI498" s="344"/>
      <c r="BJ498" s="344"/>
      <c r="BK498" s="344"/>
      <c r="BL498" s="344"/>
      <c r="BO498" s="344"/>
      <c r="BP498" s="344"/>
    </row>
    <row r="499" spans="54:68">
      <c r="BB499" s="794">
        <v>50813</v>
      </c>
      <c r="BC499" s="344" t="str">
        <f t="shared" si="7"/>
        <v>札幌市南区川沿十三条</v>
      </c>
      <c r="BD499" s="56" t="s">
        <v>576</v>
      </c>
      <c r="BE499" s="303" t="s">
        <v>1006</v>
      </c>
      <c r="BF499" s="344"/>
      <c r="BG499" s="344"/>
      <c r="BH499" s="344"/>
      <c r="BI499" s="344"/>
      <c r="BJ499" s="344"/>
      <c r="BK499" s="344"/>
      <c r="BL499" s="344"/>
      <c r="BO499" s="344"/>
      <c r="BP499" s="344"/>
    </row>
    <row r="500" spans="54:68">
      <c r="BB500" s="794">
        <v>50814</v>
      </c>
      <c r="BC500" s="344" t="str">
        <f t="shared" si="7"/>
        <v>札幌市南区川沿十四条</v>
      </c>
      <c r="BD500" s="56" t="s">
        <v>576</v>
      </c>
      <c r="BE500" s="303" t="s">
        <v>1007</v>
      </c>
      <c r="BF500" s="344"/>
      <c r="BG500" s="344"/>
      <c r="BH500" s="344"/>
      <c r="BI500" s="344"/>
      <c r="BJ500" s="344"/>
      <c r="BK500" s="344"/>
      <c r="BL500" s="344"/>
      <c r="BO500" s="344"/>
      <c r="BP500" s="344"/>
    </row>
    <row r="501" spans="54:68">
      <c r="BB501" s="794">
        <v>50815</v>
      </c>
      <c r="BC501" s="344" t="str">
        <f t="shared" si="7"/>
        <v>札幌市南区川沿十五条</v>
      </c>
      <c r="BD501" s="56" t="s">
        <v>576</v>
      </c>
      <c r="BE501" s="303" t="s">
        <v>1008</v>
      </c>
      <c r="BF501" s="344"/>
      <c r="BG501" s="344"/>
      <c r="BH501" s="344"/>
      <c r="BI501" s="344"/>
      <c r="BJ501" s="344"/>
      <c r="BK501" s="344"/>
      <c r="BL501" s="344"/>
      <c r="BO501" s="344"/>
      <c r="BP501" s="344"/>
    </row>
    <row r="502" spans="54:68">
      <c r="BB502" s="794">
        <v>50816</v>
      </c>
      <c r="BC502" s="344" t="str">
        <f t="shared" si="7"/>
        <v>札幌市南区川沿十六条</v>
      </c>
      <c r="BD502" s="56" t="s">
        <v>576</v>
      </c>
      <c r="BE502" s="303" t="s">
        <v>1009</v>
      </c>
      <c r="BF502" s="344"/>
      <c r="BG502" s="344"/>
      <c r="BH502" s="344"/>
      <c r="BI502" s="344"/>
      <c r="BJ502" s="344"/>
      <c r="BK502" s="344"/>
      <c r="BL502" s="344"/>
      <c r="BO502" s="344"/>
      <c r="BP502" s="344"/>
    </row>
    <row r="503" spans="54:68">
      <c r="BB503" s="794">
        <v>50817</v>
      </c>
      <c r="BC503" s="344" t="str">
        <f t="shared" si="7"/>
        <v>札幌市南区川沿十七条</v>
      </c>
      <c r="BD503" s="56" t="s">
        <v>576</v>
      </c>
      <c r="BE503" s="303" t="s">
        <v>1010</v>
      </c>
      <c r="BF503" s="344"/>
      <c r="BG503" s="344"/>
      <c r="BH503" s="344"/>
      <c r="BI503" s="344"/>
      <c r="BJ503" s="344"/>
      <c r="BK503" s="344"/>
      <c r="BL503" s="344"/>
      <c r="BO503" s="344"/>
      <c r="BP503" s="344"/>
    </row>
    <row r="504" spans="54:68">
      <c r="BB504" s="794">
        <v>50818</v>
      </c>
      <c r="BC504" s="344" t="str">
        <f t="shared" si="7"/>
        <v>札幌市南区川沿十八条</v>
      </c>
      <c r="BD504" s="56" t="s">
        <v>576</v>
      </c>
      <c r="BE504" s="303" t="s">
        <v>1011</v>
      </c>
      <c r="BF504" s="344"/>
      <c r="BG504" s="344"/>
      <c r="BH504" s="344"/>
      <c r="BI504" s="344"/>
      <c r="BJ504" s="344"/>
      <c r="BK504" s="344"/>
      <c r="BL504" s="344"/>
      <c r="BO504" s="344"/>
      <c r="BP504" s="344"/>
    </row>
    <row r="505" spans="54:68">
      <c r="BB505" s="794">
        <v>50832</v>
      </c>
      <c r="BC505" s="344" t="str">
        <f t="shared" si="7"/>
        <v>札幌市南区北ノ沢</v>
      </c>
      <c r="BD505" s="56" t="s">
        <v>576</v>
      </c>
      <c r="BE505" s="303" t="s">
        <v>1012</v>
      </c>
      <c r="BF505" s="344"/>
      <c r="BG505" s="344"/>
      <c r="BH505" s="344"/>
      <c r="BI505" s="344"/>
      <c r="BJ505" s="344"/>
      <c r="BK505" s="344"/>
      <c r="BL505" s="344"/>
      <c r="BO505" s="344"/>
      <c r="BP505" s="344"/>
    </row>
    <row r="506" spans="54:68">
      <c r="BB506" s="794">
        <v>50864</v>
      </c>
      <c r="BC506" s="344" t="str">
        <f t="shared" si="7"/>
        <v>札幌市南区芸術の森</v>
      </c>
      <c r="BD506" s="56" t="s">
        <v>576</v>
      </c>
      <c r="BE506" s="303" t="s">
        <v>1013</v>
      </c>
      <c r="BF506" s="344"/>
      <c r="BG506" s="344"/>
      <c r="BH506" s="344"/>
      <c r="BI506" s="344"/>
      <c r="BJ506" s="344"/>
      <c r="BK506" s="344"/>
      <c r="BL506" s="344"/>
      <c r="BO506" s="344"/>
      <c r="BP506" s="344"/>
    </row>
    <row r="507" spans="54:68">
      <c r="BB507" s="794">
        <v>612274</v>
      </c>
      <c r="BC507" s="344" t="str">
        <f t="shared" si="7"/>
        <v>札幌市南区小金湯</v>
      </c>
      <c r="BD507" s="56" t="s">
        <v>576</v>
      </c>
      <c r="BE507" s="303" t="s">
        <v>1014</v>
      </c>
      <c r="BF507" s="344"/>
      <c r="BG507" s="344"/>
      <c r="BH507" s="344"/>
      <c r="BI507" s="344"/>
      <c r="BJ507" s="344"/>
      <c r="BK507" s="344"/>
      <c r="BL507" s="344"/>
      <c r="BO507" s="344"/>
      <c r="BP507" s="344"/>
    </row>
    <row r="508" spans="54:68">
      <c r="BB508" s="794">
        <v>612301</v>
      </c>
      <c r="BC508" s="344" t="str">
        <f t="shared" si="7"/>
        <v>札幌市南区定山渓</v>
      </c>
      <c r="BD508" s="56" t="s">
        <v>576</v>
      </c>
      <c r="BE508" s="303" t="s">
        <v>1015</v>
      </c>
      <c r="BF508" s="344"/>
      <c r="BG508" s="344"/>
      <c r="BH508" s="344"/>
      <c r="BI508" s="344"/>
      <c r="BJ508" s="344"/>
      <c r="BK508" s="344"/>
      <c r="BL508" s="344"/>
      <c r="BO508" s="344"/>
      <c r="BP508" s="344"/>
    </row>
    <row r="509" spans="54:68">
      <c r="BB509" s="794">
        <v>612302</v>
      </c>
      <c r="BC509" s="344" t="str">
        <f t="shared" si="7"/>
        <v>札幌市南区定山渓温泉東</v>
      </c>
      <c r="BD509" s="56" t="s">
        <v>576</v>
      </c>
      <c r="BE509" s="303" t="s">
        <v>1016</v>
      </c>
      <c r="BF509" s="344"/>
      <c r="BG509" s="344"/>
      <c r="BH509" s="344"/>
      <c r="BI509" s="344"/>
      <c r="BJ509" s="344"/>
      <c r="BK509" s="344"/>
      <c r="BL509" s="344"/>
      <c r="BO509" s="344"/>
      <c r="BP509" s="344"/>
    </row>
    <row r="510" spans="54:68">
      <c r="BB510" s="794">
        <v>612303</v>
      </c>
      <c r="BC510" s="344" t="str">
        <f t="shared" si="7"/>
        <v>札幌市南区定山渓温泉西</v>
      </c>
      <c r="BD510" s="56" t="s">
        <v>576</v>
      </c>
      <c r="BE510" s="303" t="s">
        <v>1017</v>
      </c>
      <c r="BF510" s="344"/>
      <c r="BG510" s="344"/>
      <c r="BH510" s="344"/>
      <c r="BI510" s="344"/>
      <c r="BJ510" s="344"/>
      <c r="BK510" s="344"/>
      <c r="BL510" s="344"/>
      <c r="BO510" s="344"/>
      <c r="BP510" s="344"/>
    </row>
    <row r="511" spans="54:68">
      <c r="BB511" s="794">
        <v>612276</v>
      </c>
      <c r="BC511" s="344" t="str">
        <f t="shared" ref="BC511:BC574" si="8">BD511&amp;BE511</f>
        <v>札幌市南区白川</v>
      </c>
      <c r="BD511" s="56" t="s">
        <v>576</v>
      </c>
      <c r="BE511" s="303" t="s">
        <v>1018</v>
      </c>
      <c r="BF511" s="344"/>
      <c r="BG511" s="344"/>
      <c r="BH511" s="344"/>
      <c r="BI511" s="344"/>
      <c r="BJ511" s="344"/>
      <c r="BK511" s="344"/>
      <c r="BL511" s="344"/>
      <c r="BO511" s="344"/>
      <c r="BP511" s="344"/>
    </row>
    <row r="512" spans="54:68">
      <c r="BB512" s="794">
        <v>50007</v>
      </c>
      <c r="BC512" s="344" t="str">
        <f t="shared" si="8"/>
        <v>札幌市南区澄川</v>
      </c>
      <c r="BD512" s="56" t="s">
        <v>576</v>
      </c>
      <c r="BE512" s="303" t="s">
        <v>1019</v>
      </c>
      <c r="BF512" s="344"/>
      <c r="BG512" s="344"/>
      <c r="BH512" s="344"/>
      <c r="BI512" s="344"/>
      <c r="BJ512" s="344"/>
      <c r="BK512" s="344"/>
      <c r="BL512" s="344"/>
      <c r="BO512" s="344"/>
      <c r="BP512" s="344"/>
    </row>
    <row r="513" spans="54:68">
      <c r="BB513" s="794">
        <v>50001</v>
      </c>
      <c r="BC513" s="344" t="str">
        <f t="shared" si="8"/>
        <v>札幌市南区澄川一条</v>
      </c>
      <c r="BD513" s="56" t="s">
        <v>576</v>
      </c>
      <c r="BE513" s="303" t="s">
        <v>1020</v>
      </c>
      <c r="BF513" s="344"/>
      <c r="BG513" s="344"/>
      <c r="BH513" s="344"/>
      <c r="BI513" s="344"/>
      <c r="BJ513" s="344"/>
      <c r="BK513" s="344"/>
      <c r="BL513" s="344"/>
      <c r="BO513" s="344"/>
      <c r="BP513" s="344"/>
    </row>
    <row r="514" spans="54:68">
      <c r="BB514" s="794">
        <v>50002</v>
      </c>
      <c r="BC514" s="344" t="str">
        <f t="shared" si="8"/>
        <v>札幌市南区澄川二条</v>
      </c>
      <c r="BD514" s="56" t="s">
        <v>576</v>
      </c>
      <c r="BE514" s="303" t="s">
        <v>1021</v>
      </c>
      <c r="BF514" s="344"/>
      <c r="BG514" s="344"/>
      <c r="BH514" s="344"/>
      <c r="BI514" s="344"/>
      <c r="BJ514" s="344"/>
      <c r="BK514" s="344"/>
      <c r="BL514" s="344"/>
      <c r="BO514" s="344"/>
      <c r="BP514" s="344"/>
    </row>
    <row r="515" spans="54:68">
      <c r="BB515" s="794">
        <v>50003</v>
      </c>
      <c r="BC515" s="344" t="str">
        <f t="shared" si="8"/>
        <v>札幌市南区澄川三条</v>
      </c>
      <c r="BD515" s="56" t="s">
        <v>576</v>
      </c>
      <c r="BE515" s="303" t="s">
        <v>1022</v>
      </c>
      <c r="BF515" s="344"/>
      <c r="BG515" s="344"/>
      <c r="BH515" s="344"/>
      <c r="BI515" s="344"/>
      <c r="BJ515" s="344"/>
      <c r="BK515" s="344"/>
      <c r="BL515" s="344"/>
      <c r="BO515" s="344"/>
      <c r="BP515" s="344"/>
    </row>
    <row r="516" spans="54:68">
      <c r="BB516" s="794">
        <v>50004</v>
      </c>
      <c r="BC516" s="344" t="str">
        <f t="shared" si="8"/>
        <v>札幌市南区澄川四条</v>
      </c>
      <c r="BD516" s="56" t="s">
        <v>576</v>
      </c>
      <c r="BE516" s="303" t="s">
        <v>1023</v>
      </c>
      <c r="BF516" s="344"/>
      <c r="BG516" s="344"/>
      <c r="BH516" s="344"/>
      <c r="BI516" s="344"/>
      <c r="BJ516" s="344"/>
      <c r="BK516" s="344"/>
      <c r="BL516" s="344"/>
      <c r="BO516" s="344"/>
      <c r="BP516" s="344"/>
    </row>
    <row r="517" spans="54:68">
      <c r="BB517" s="794">
        <v>50005</v>
      </c>
      <c r="BC517" s="344" t="str">
        <f t="shared" si="8"/>
        <v>札幌市南区澄川五条</v>
      </c>
      <c r="BD517" s="56" t="s">
        <v>576</v>
      </c>
      <c r="BE517" s="303" t="s">
        <v>1024</v>
      </c>
      <c r="BF517" s="344"/>
      <c r="BG517" s="344"/>
      <c r="BH517" s="344"/>
      <c r="BI517" s="344"/>
      <c r="BJ517" s="344"/>
      <c r="BK517" s="344"/>
      <c r="BL517" s="344"/>
      <c r="BO517" s="344"/>
      <c r="BP517" s="344"/>
    </row>
    <row r="518" spans="54:68">
      <c r="BB518" s="794">
        <v>50006</v>
      </c>
      <c r="BC518" s="344" t="str">
        <f t="shared" si="8"/>
        <v>札幌市南区澄川六条</v>
      </c>
      <c r="BD518" s="56" t="s">
        <v>576</v>
      </c>
      <c r="BE518" s="303" t="s">
        <v>1025</v>
      </c>
      <c r="BF518" s="344"/>
      <c r="BG518" s="344"/>
      <c r="BH518" s="344"/>
      <c r="BI518" s="344"/>
      <c r="BJ518" s="344"/>
      <c r="BK518" s="344"/>
      <c r="BL518" s="344"/>
      <c r="BO518" s="344"/>
      <c r="BP518" s="344"/>
    </row>
    <row r="519" spans="54:68">
      <c r="BB519" s="794">
        <v>50862</v>
      </c>
      <c r="BC519" s="344" t="str">
        <f t="shared" si="8"/>
        <v>札幌市南区滝野</v>
      </c>
      <c r="BD519" s="56" t="s">
        <v>576</v>
      </c>
      <c r="BE519" s="303" t="s">
        <v>1026</v>
      </c>
      <c r="BF519" s="344"/>
      <c r="BG519" s="344"/>
      <c r="BH519" s="344"/>
      <c r="BI519" s="344"/>
      <c r="BJ519" s="344"/>
      <c r="BK519" s="344"/>
      <c r="BL519" s="344"/>
      <c r="BO519" s="344"/>
      <c r="BP519" s="344"/>
    </row>
    <row r="520" spans="54:68">
      <c r="BB520" s="794">
        <v>50830</v>
      </c>
      <c r="BC520" s="344" t="str">
        <f t="shared" si="8"/>
        <v>札幌市南区砥石山</v>
      </c>
      <c r="BD520" s="56" t="s">
        <v>576</v>
      </c>
      <c r="BE520" s="303" t="s">
        <v>1027</v>
      </c>
      <c r="BF520" s="344"/>
      <c r="BG520" s="344"/>
      <c r="BH520" s="344"/>
      <c r="BI520" s="344"/>
      <c r="BJ520" s="344"/>
      <c r="BK520" s="344"/>
      <c r="BL520" s="344"/>
      <c r="BO520" s="344"/>
      <c r="BP520" s="344"/>
    </row>
    <row r="521" spans="54:68">
      <c r="BB521" s="794">
        <v>50865</v>
      </c>
      <c r="BC521" s="344" t="str">
        <f t="shared" si="8"/>
        <v>札幌市南区常盤</v>
      </c>
      <c r="BD521" s="56" t="s">
        <v>576</v>
      </c>
      <c r="BE521" s="303" t="s">
        <v>1317</v>
      </c>
      <c r="BF521" s="344"/>
      <c r="BG521" s="344"/>
      <c r="BH521" s="344"/>
      <c r="BI521" s="344"/>
      <c r="BJ521" s="344"/>
      <c r="BK521" s="344"/>
      <c r="BL521" s="344"/>
      <c r="BO521" s="344"/>
      <c r="BP521" s="344"/>
    </row>
    <row r="522" spans="54:68">
      <c r="BB522" s="794">
        <v>50863</v>
      </c>
      <c r="BC522" s="344" t="str">
        <f t="shared" si="8"/>
        <v>札幌市南区常盤</v>
      </c>
      <c r="BD522" s="56" t="s">
        <v>576</v>
      </c>
      <c r="BE522" s="303" t="s">
        <v>1317</v>
      </c>
      <c r="BF522" s="344"/>
      <c r="BG522" s="344"/>
      <c r="BH522" s="344"/>
      <c r="BI522" s="344"/>
      <c r="BJ522" s="344"/>
      <c r="BK522" s="344"/>
      <c r="BL522" s="344"/>
      <c r="BO522" s="344"/>
      <c r="BP522" s="344"/>
    </row>
    <row r="523" spans="54:68">
      <c r="BB523" s="794">
        <v>50851</v>
      </c>
      <c r="BC523" s="344" t="str">
        <f t="shared" si="8"/>
        <v>札幌市南区常盤一条</v>
      </c>
      <c r="BD523" s="56" t="s">
        <v>576</v>
      </c>
      <c r="BE523" s="303" t="s">
        <v>1028</v>
      </c>
      <c r="BF523" s="344"/>
      <c r="BG523" s="344"/>
      <c r="BH523" s="344"/>
      <c r="BI523" s="344"/>
      <c r="BJ523" s="344"/>
      <c r="BK523" s="344"/>
      <c r="BL523" s="344"/>
      <c r="BO523" s="344"/>
      <c r="BP523" s="344"/>
    </row>
    <row r="524" spans="54:68">
      <c r="BB524" s="794">
        <v>50852</v>
      </c>
      <c r="BC524" s="344" t="str">
        <f t="shared" si="8"/>
        <v>札幌市南区常盤二条</v>
      </c>
      <c r="BD524" s="56" t="s">
        <v>576</v>
      </c>
      <c r="BE524" s="303" t="s">
        <v>1029</v>
      </c>
      <c r="BF524" s="344"/>
      <c r="BG524" s="344"/>
      <c r="BH524" s="344"/>
      <c r="BI524" s="344"/>
      <c r="BJ524" s="344"/>
      <c r="BK524" s="344"/>
      <c r="BL524" s="344"/>
      <c r="BO524" s="344"/>
      <c r="BP524" s="344"/>
    </row>
    <row r="525" spans="54:68">
      <c r="BB525" s="794">
        <v>50853</v>
      </c>
      <c r="BC525" s="344" t="str">
        <f t="shared" si="8"/>
        <v>札幌市南区常盤三条</v>
      </c>
      <c r="BD525" s="56" t="s">
        <v>576</v>
      </c>
      <c r="BE525" s="303" t="s">
        <v>1030</v>
      </c>
      <c r="BF525" s="344"/>
      <c r="BG525" s="344"/>
      <c r="BH525" s="344"/>
      <c r="BI525" s="344"/>
      <c r="BJ525" s="344"/>
      <c r="BK525" s="344"/>
      <c r="BL525" s="344"/>
      <c r="BO525" s="344"/>
      <c r="BP525" s="344"/>
    </row>
    <row r="526" spans="54:68">
      <c r="BB526" s="794">
        <v>50854</v>
      </c>
      <c r="BC526" s="344" t="str">
        <f t="shared" si="8"/>
        <v>札幌市南区常盤四条</v>
      </c>
      <c r="BD526" s="56" t="s">
        <v>576</v>
      </c>
      <c r="BE526" s="303" t="s">
        <v>1031</v>
      </c>
      <c r="BF526" s="344"/>
      <c r="BG526" s="344"/>
      <c r="BH526" s="344"/>
      <c r="BI526" s="344"/>
      <c r="BJ526" s="344"/>
      <c r="BK526" s="344"/>
      <c r="BL526" s="344"/>
      <c r="BO526" s="344"/>
      <c r="BP526" s="344"/>
    </row>
    <row r="527" spans="54:68">
      <c r="BB527" s="794">
        <v>50855</v>
      </c>
      <c r="BC527" s="344" t="str">
        <f t="shared" si="8"/>
        <v>札幌市南区常盤五条</v>
      </c>
      <c r="BD527" s="56" t="s">
        <v>576</v>
      </c>
      <c r="BE527" s="303" t="s">
        <v>1032</v>
      </c>
      <c r="BF527" s="344"/>
      <c r="BG527" s="344"/>
      <c r="BH527" s="344"/>
      <c r="BI527" s="344"/>
      <c r="BJ527" s="344"/>
      <c r="BK527" s="344"/>
      <c r="BL527" s="344"/>
      <c r="BO527" s="344"/>
      <c r="BP527" s="344"/>
    </row>
    <row r="528" spans="54:68">
      <c r="BB528" s="794">
        <v>50856</v>
      </c>
      <c r="BC528" s="344" t="str">
        <f t="shared" si="8"/>
        <v>札幌市南区常盤六条</v>
      </c>
      <c r="BD528" s="56" t="s">
        <v>576</v>
      </c>
      <c r="BE528" s="303" t="s">
        <v>1033</v>
      </c>
      <c r="BF528" s="344"/>
      <c r="BG528" s="344"/>
      <c r="BH528" s="344"/>
      <c r="BI528" s="344"/>
      <c r="BJ528" s="344"/>
      <c r="BK528" s="344"/>
      <c r="BL528" s="344"/>
      <c r="BO528" s="344"/>
      <c r="BP528" s="344"/>
    </row>
    <row r="529" spans="54:68">
      <c r="BB529" s="794">
        <v>612275</v>
      </c>
      <c r="BC529" s="344" t="str">
        <f t="shared" si="8"/>
        <v>札幌市南区砥山</v>
      </c>
      <c r="BD529" s="56" t="s">
        <v>576</v>
      </c>
      <c r="BE529" s="303" t="s">
        <v>1034</v>
      </c>
      <c r="BF529" s="344"/>
      <c r="BG529" s="344"/>
      <c r="BH529" s="344"/>
      <c r="BI529" s="344"/>
      <c r="BJ529" s="344"/>
      <c r="BK529" s="344"/>
      <c r="BL529" s="344"/>
      <c r="BO529" s="344"/>
      <c r="BP529" s="344"/>
    </row>
    <row r="530" spans="54:68">
      <c r="BB530" s="794">
        <v>612273</v>
      </c>
      <c r="BC530" s="344" t="str">
        <f t="shared" si="8"/>
        <v>札幌市南区豊滝</v>
      </c>
      <c r="BD530" s="56" t="s">
        <v>576</v>
      </c>
      <c r="BE530" s="303" t="s">
        <v>1035</v>
      </c>
      <c r="BF530" s="344"/>
      <c r="BG530" s="344"/>
      <c r="BH530" s="344"/>
      <c r="BI530" s="344"/>
      <c r="BJ530" s="344"/>
      <c r="BK530" s="344"/>
      <c r="BL530" s="344"/>
      <c r="BO530" s="344"/>
      <c r="BP530" s="344"/>
    </row>
    <row r="531" spans="54:68">
      <c r="BB531" s="794">
        <v>50831</v>
      </c>
      <c r="BC531" s="344" t="str">
        <f t="shared" si="8"/>
        <v>札幌市南区中ノ沢</v>
      </c>
      <c r="BD531" s="56" t="s">
        <v>576</v>
      </c>
      <c r="BE531" s="303" t="s">
        <v>1036</v>
      </c>
      <c r="BF531" s="344"/>
      <c r="BG531" s="344"/>
      <c r="BH531" s="344"/>
      <c r="BI531" s="344"/>
      <c r="BJ531" s="344"/>
      <c r="BK531" s="344"/>
      <c r="BL531" s="344"/>
      <c r="BO531" s="344"/>
      <c r="BP531" s="344"/>
    </row>
    <row r="532" spans="54:68">
      <c r="BB532" s="794">
        <v>50840</v>
      </c>
      <c r="BC532" s="344" t="str">
        <f t="shared" si="8"/>
        <v>札幌市南区藤野</v>
      </c>
      <c r="BD532" s="56" t="s">
        <v>576</v>
      </c>
      <c r="BE532" s="303" t="s">
        <v>1358</v>
      </c>
      <c r="BF532" s="344"/>
      <c r="BG532" s="344"/>
      <c r="BH532" s="344"/>
      <c r="BI532" s="344"/>
      <c r="BJ532" s="344"/>
      <c r="BK532" s="344"/>
      <c r="BL532" s="344"/>
      <c r="BO532" s="344"/>
      <c r="BP532" s="344"/>
    </row>
    <row r="533" spans="54:68">
      <c r="BB533" s="794">
        <v>612271</v>
      </c>
      <c r="BC533" s="344" t="str">
        <f t="shared" si="8"/>
        <v>札幌市南区藤野</v>
      </c>
      <c r="BD533" s="56" t="s">
        <v>576</v>
      </c>
      <c r="BE533" s="303" t="s">
        <v>1359</v>
      </c>
      <c r="BF533" s="344"/>
      <c r="BG533" s="344"/>
      <c r="BH533" s="344"/>
      <c r="BI533" s="344"/>
      <c r="BJ533" s="344"/>
      <c r="BK533" s="344"/>
      <c r="BL533" s="344"/>
      <c r="BO533" s="344"/>
      <c r="BP533" s="344"/>
    </row>
    <row r="534" spans="54:68">
      <c r="BB534" s="794">
        <v>612281</v>
      </c>
      <c r="BC534" s="344" t="str">
        <f t="shared" si="8"/>
        <v>札幌市南区藤野一条</v>
      </c>
      <c r="BD534" s="56" t="s">
        <v>576</v>
      </c>
      <c r="BE534" s="303" t="s">
        <v>1037</v>
      </c>
      <c r="BF534" s="344"/>
      <c r="BG534" s="344"/>
      <c r="BH534" s="344"/>
      <c r="BI534" s="344"/>
      <c r="BJ534" s="344"/>
      <c r="BK534" s="344"/>
      <c r="BL534" s="344"/>
      <c r="BO534" s="344"/>
      <c r="BP534" s="344"/>
    </row>
    <row r="535" spans="54:68">
      <c r="BB535" s="794">
        <v>612282</v>
      </c>
      <c r="BC535" s="344" t="str">
        <f t="shared" si="8"/>
        <v>札幌市南区藤野二条</v>
      </c>
      <c r="BD535" s="56" t="s">
        <v>576</v>
      </c>
      <c r="BE535" s="303" t="s">
        <v>1038</v>
      </c>
      <c r="BF535" s="344"/>
      <c r="BG535" s="344"/>
      <c r="BH535" s="344"/>
      <c r="BI535" s="344"/>
      <c r="BJ535" s="344"/>
      <c r="BK535" s="344"/>
      <c r="BL535" s="344"/>
      <c r="BO535" s="344"/>
      <c r="BP535" s="344"/>
    </row>
    <row r="536" spans="54:68">
      <c r="BB536" s="794">
        <v>612283</v>
      </c>
      <c r="BC536" s="344" t="str">
        <f t="shared" si="8"/>
        <v>札幌市南区藤野三条</v>
      </c>
      <c r="BD536" s="56" t="s">
        <v>576</v>
      </c>
      <c r="BE536" s="303" t="s">
        <v>1039</v>
      </c>
      <c r="BF536" s="344"/>
      <c r="BG536" s="344"/>
      <c r="BH536" s="344"/>
      <c r="BI536" s="344"/>
      <c r="BJ536" s="344"/>
      <c r="BK536" s="344"/>
      <c r="BL536" s="344"/>
      <c r="BO536" s="344"/>
      <c r="BP536" s="344"/>
    </row>
    <row r="537" spans="54:68">
      <c r="BB537" s="794">
        <v>612284</v>
      </c>
      <c r="BC537" s="344" t="str">
        <f t="shared" si="8"/>
        <v>札幌市南区藤野四条</v>
      </c>
      <c r="BD537" s="56" t="s">
        <v>576</v>
      </c>
      <c r="BE537" s="303" t="s">
        <v>1040</v>
      </c>
      <c r="BF537" s="344"/>
      <c r="BG537" s="344"/>
      <c r="BH537" s="344"/>
      <c r="BI537" s="344"/>
      <c r="BJ537" s="344"/>
      <c r="BK537" s="344"/>
      <c r="BL537" s="344"/>
      <c r="BO537" s="344"/>
      <c r="BP537" s="344"/>
    </row>
    <row r="538" spans="54:68">
      <c r="BB538" s="794">
        <v>612285</v>
      </c>
      <c r="BC538" s="344" t="str">
        <f t="shared" si="8"/>
        <v>札幌市南区藤野五条</v>
      </c>
      <c r="BD538" s="56" t="s">
        <v>576</v>
      </c>
      <c r="BE538" s="303" t="s">
        <v>1041</v>
      </c>
      <c r="BF538" s="344"/>
      <c r="BG538" s="344"/>
      <c r="BH538" s="344"/>
      <c r="BI538" s="344"/>
      <c r="BJ538" s="344"/>
      <c r="BK538" s="344"/>
      <c r="BL538" s="344"/>
      <c r="BO538" s="344"/>
      <c r="BP538" s="344"/>
    </row>
    <row r="539" spans="54:68">
      <c r="BB539" s="794">
        <v>612286</v>
      </c>
      <c r="BC539" s="344" t="str">
        <f t="shared" si="8"/>
        <v>札幌市南区藤野六条</v>
      </c>
      <c r="BD539" s="56" t="s">
        <v>576</v>
      </c>
      <c r="BE539" s="303" t="s">
        <v>1042</v>
      </c>
      <c r="BF539" s="344"/>
      <c r="BG539" s="344"/>
      <c r="BH539" s="344"/>
      <c r="BI539" s="344"/>
      <c r="BJ539" s="344"/>
      <c r="BK539" s="344"/>
      <c r="BL539" s="344"/>
      <c r="BO539" s="344"/>
      <c r="BP539" s="344"/>
    </row>
    <row r="540" spans="54:68">
      <c r="BB540" s="794">
        <v>50008</v>
      </c>
      <c r="BC540" s="344" t="str">
        <f t="shared" si="8"/>
        <v>札幌市南区真駒内</v>
      </c>
      <c r="BD540" s="56" t="s">
        <v>576</v>
      </c>
      <c r="BE540" s="303" t="s">
        <v>1360</v>
      </c>
      <c r="BF540" s="344"/>
      <c r="BG540" s="344"/>
      <c r="BH540" s="344"/>
      <c r="BI540" s="344"/>
      <c r="BJ540" s="344"/>
      <c r="BK540" s="344"/>
      <c r="BL540" s="344"/>
      <c r="BO540" s="344"/>
      <c r="BP540" s="344"/>
    </row>
    <row r="541" spans="54:68">
      <c r="BB541" s="794">
        <v>50861</v>
      </c>
      <c r="BC541" s="344" t="str">
        <f t="shared" si="8"/>
        <v>札幌市南区真駒内</v>
      </c>
      <c r="BD541" s="56" t="s">
        <v>576</v>
      </c>
      <c r="BE541" s="303" t="s">
        <v>1361</v>
      </c>
      <c r="BF541" s="344"/>
      <c r="BG541" s="344"/>
      <c r="BH541" s="344"/>
      <c r="BI541" s="344"/>
      <c r="BJ541" s="344"/>
      <c r="BK541" s="344"/>
      <c r="BL541" s="344"/>
      <c r="BO541" s="344"/>
      <c r="BP541" s="344"/>
    </row>
    <row r="542" spans="54:68">
      <c r="BB542" s="794">
        <v>50018</v>
      </c>
      <c r="BC542" s="344" t="str">
        <f t="shared" si="8"/>
        <v>札幌市南区真駒内曙町</v>
      </c>
      <c r="BD542" s="56" t="s">
        <v>576</v>
      </c>
      <c r="BE542" s="303" t="s">
        <v>1043</v>
      </c>
      <c r="BF542" s="344"/>
      <c r="BG542" s="344"/>
      <c r="BH542" s="344"/>
      <c r="BI542" s="344"/>
      <c r="BJ542" s="344"/>
      <c r="BK542" s="344"/>
      <c r="BL542" s="344"/>
      <c r="BO542" s="344"/>
      <c r="BP542" s="344"/>
    </row>
    <row r="543" spans="54:68">
      <c r="BB543" s="794">
        <v>50015</v>
      </c>
      <c r="BC543" s="344" t="str">
        <f t="shared" si="8"/>
        <v>札幌市南区真駒内泉町</v>
      </c>
      <c r="BD543" s="56" t="s">
        <v>576</v>
      </c>
      <c r="BE543" s="303" t="s">
        <v>1044</v>
      </c>
      <c r="BF543" s="344"/>
      <c r="BG543" s="344"/>
      <c r="BH543" s="344"/>
      <c r="BI543" s="344"/>
      <c r="BJ543" s="344"/>
      <c r="BK543" s="344"/>
      <c r="BL543" s="344"/>
      <c r="BO543" s="344"/>
      <c r="BP543" s="344"/>
    </row>
    <row r="544" spans="54:68">
      <c r="BB544" s="794">
        <v>50022</v>
      </c>
      <c r="BC544" s="344" t="str">
        <f t="shared" si="8"/>
        <v>札幌市南区真駒内柏丘</v>
      </c>
      <c r="BD544" s="56" t="s">
        <v>576</v>
      </c>
      <c r="BE544" s="303" t="s">
        <v>1045</v>
      </c>
      <c r="BF544" s="344"/>
      <c r="BG544" s="344"/>
      <c r="BH544" s="344"/>
      <c r="BI544" s="344"/>
      <c r="BJ544" s="344"/>
      <c r="BK544" s="344"/>
      <c r="BL544" s="344"/>
      <c r="BO544" s="344"/>
      <c r="BP544" s="344"/>
    </row>
    <row r="545" spans="54:68">
      <c r="BB545" s="794">
        <v>50012</v>
      </c>
      <c r="BC545" s="344" t="str">
        <f t="shared" si="8"/>
        <v>札幌市南区真駒内上町</v>
      </c>
      <c r="BD545" s="56" t="s">
        <v>576</v>
      </c>
      <c r="BE545" s="303" t="s">
        <v>1046</v>
      </c>
      <c r="BF545" s="344"/>
      <c r="BG545" s="344"/>
      <c r="BH545" s="344"/>
      <c r="BI545" s="344"/>
      <c r="BJ545" s="344"/>
      <c r="BK545" s="344"/>
      <c r="BL545" s="344"/>
      <c r="BO545" s="344"/>
      <c r="BP545" s="344"/>
    </row>
    <row r="546" spans="54:68">
      <c r="BB546" s="794">
        <v>50014</v>
      </c>
      <c r="BC546" s="344" t="str">
        <f t="shared" si="8"/>
        <v>札幌市南区真駒内幸町</v>
      </c>
      <c r="BD546" s="56" t="s">
        <v>576</v>
      </c>
      <c r="BE546" s="303" t="s">
        <v>1047</v>
      </c>
      <c r="BF546" s="344"/>
      <c r="BG546" s="344"/>
      <c r="BH546" s="344"/>
      <c r="BI546" s="344"/>
      <c r="BJ546" s="344"/>
      <c r="BK546" s="344"/>
      <c r="BL546" s="344"/>
      <c r="BO546" s="344"/>
      <c r="BP546" s="344"/>
    </row>
    <row r="547" spans="54:68">
      <c r="BB547" s="794">
        <v>50011</v>
      </c>
      <c r="BC547" s="344" t="str">
        <f t="shared" si="8"/>
        <v>札幌市南区真駒内東町</v>
      </c>
      <c r="BD547" s="56" t="s">
        <v>576</v>
      </c>
      <c r="BE547" s="303" t="s">
        <v>1048</v>
      </c>
      <c r="BF547" s="344"/>
      <c r="BG547" s="344"/>
      <c r="BH547" s="344"/>
      <c r="BI547" s="344"/>
      <c r="BJ547" s="344"/>
      <c r="BK547" s="344"/>
      <c r="BL547" s="344"/>
      <c r="BO547" s="344"/>
      <c r="BP547" s="344"/>
    </row>
    <row r="548" spans="54:68">
      <c r="BB548" s="794">
        <v>50021</v>
      </c>
      <c r="BC548" s="344" t="str">
        <f t="shared" si="8"/>
        <v>札幌市南区真駒内本町</v>
      </c>
      <c r="BD548" s="56" t="s">
        <v>576</v>
      </c>
      <c r="BE548" s="303" t="s">
        <v>1049</v>
      </c>
      <c r="BF548" s="344"/>
      <c r="BG548" s="344"/>
      <c r="BH548" s="344"/>
      <c r="BI548" s="344"/>
      <c r="BJ548" s="344"/>
      <c r="BK548" s="344"/>
      <c r="BL548" s="344"/>
      <c r="BO548" s="344"/>
      <c r="BP548" s="344"/>
    </row>
    <row r="549" spans="54:68">
      <c r="BB549" s="794">
        <v>50013</v>
      </c>
      <c r="BC549" s="344" t="str">
        <f t="shared" si="8"/>
        <v>札幌市南区真駒内緑町</v>
      </c>
      <c r="BD549" s="56" t="s">
        <v>576</v>
      </c>
      <c r="BE549" s="303" t="s">
        <v>1050</v>
      </c>
      <c r="BF549" s="344"/>
      <c r="BG549" s="344"/>
      <c r="BH549" s="344"/>
      <c r="BI549" s="344"/>
      <c r="BJ549" s="344"/>
      <c r="BK549" s="344"/>
      <c r="BL549" s="344"/>
      <c r="BO549" s="344"/>
      <c r="BP549" s="344"/>
    </row>
    <row r="550" spans="54:68">
      <c r="BB550" s="794">
        <v>50016</v>
      </c>
      <c r="BC550" s="344" t="str">
        <f t="shared" si="8"/>
        <v>札幌市南区真駒内南町</v>
      </c>
      <c r="BD550" s="56" t="s">
        <v>576</v>
      </c>
      <c r="BE550" s="303" t="s">
        <v>1051</v>
      </c>
      <c r="BF550" s="344"/>
      <c r="BG550" s="344"/>
      <c r="BH550" s="344"/>
      <c r="BI550" s="344"/>
      <c r="BJ550" s="344"/>
      <c r="BK550" s="344"/>
      <c r="BL550" s="344"/>
      <c r="BO550" s="344"/>
      <c r="BP550" s="344"/>
    </row>
    <row r="551" spans="54:68">
      <c r="BB551" s="794">
        <v>50017</v>
      </c>
      <c r="BC551" s="344" t="str">
        <f t="shared" si="8"/>
        <v>札幌市南区真駒内公園</v>
      </c>
      <c r="BD551" s="56" t="s">
        <v>576</v>
      </c>
      <c r="BE551" s="303" t="s">
        <v>1052</v>
      </c>
      <c r="BF551" s="344"/>
      <c r="BG551" s="344"/>
      <c r="BH551" s="344"/>
      <c r="BI551" s="344"/>
      <c r="BJ551" s="344"/>
      <c r="BK551" s="344"/>
      <c r="BL551" s="344"/>
      <c r="BO551" s="344"/>
      <c r="BP551" s="344"/>
    </row>
    <row r="552" spans="54:68">
      <c r="BB552" s="794">
        <v>612261</v>
      </c>
      <c r="BC552" s="344" t="str">
        <f t="shared" si="8"/>
        <v>札幌市南区簾舞一条</v>
      </c>
      <c r="BD552" s="56" t="s">
        <v>576</v>
      </c>
      <c r="BE552" s="303" t="s">
        <v>1053</v>
      </c>
      <c r="BF552" s="344"/>
      <c r="BG552" s="344"/>
      <c r="BH552" s="344"/>
      <c r="BI552" s="344"/>
      <c r="BJ552" s="344"/>
      <c r="BK552" s="344"/>
      <c r="BL552" s="344"/>
      <c r="BO552" s="344"/>
      <c r="BP552" s="344"/>
    </row>
    <row r="553" spans="54:68">
      <c r="BB553" s="794">
        <v>612262</v>
      </c>
      <c r="BC553" s="344" t="str">
        <f t="shared" si="8"/>
        <v>札幌市南区簾舞二条</v>
      </c>
      <c r="BD553" s="56" t="s">
        <v>576</v>
      </c>
      <c r="BE553" s="303" t="s">
        <v>1054</v>
      </c>
      <c r="BF553" s="344"/>
      <c r="BG553" s="344"/>
      <c r="BH553" s="344"/>
      <c r="BI553" s="344"/>
      <c r="BJ553" s="344"/>
      <c r="BK553" s="344"/>
      <c r="BL553" s="344"/>
      <c r="BO553" s="344"/>
      <c r="BP553" s="344"/>
    </row>
    <row r="554" spans="54:68">
      <c r="BB554" s="794">
        <v>612263</v>
      </c>
      <c r="BC554" s="344" t="str">
        <f t="shared" si="8"/>
        <v>札幌市南区簾舞三条</v>
      </c>
      <c r="BD554" s="56" t="s">
        <v>576</v>
      </c>
      <c r="BE554" s="303" t="s">
        <v>1055</v>
      </c>
      <c r="BF554" s="344"/>
      <c r="BG554" s="344"/>
      <c r="BH554" s="344"/>
      <c r="BI554" s="344"/>
      <c r="BJ554" s="344"/>
      <c r="BK554" s="344"/>
      <c r="BL554" s="344"/>
      <c r="BO554" s="344"/>
      <c r="BP554" s="344"/>
    </row>
    <row r="555" spans="54:68">
      <c r="BB555" s="794">
        <v>612264</v>
      </c>
      <c r="BC555" s="344" t="str">
        <f t="shared" si="8"/>
        <v>札幌市南区簾舞四条</v>
      </c>
      <c r="BD555" s="56" t="s">
        <v>576</v>
      </c>
      <c r="BE555" s="303" t="s">
        <v>1056</v>
      </c>
      <c r="BF555" s="344"/>
      <c r="BG555" s="344"/>
      <c r="BH555" s="344"/>
      <c r="BI555" s="344"/>
      <c r="BJ555" s="344"/>
      <c r="BK555" s="344"/>
      <c r="BL555" s="344"/>
      <c r="BO555" s="344"/>
      <c r="BP555" s="344"/>
    </row>
    <row r="556" spans="54:68">
      <c r="BB556" s="794">
        <v>612265</v>
      </c>
      <c r="BC556" s="344" t="str">
        <f t="shared" si="8"/>
        <v>札幌市南区簾舞五条</v>
      </c>
      <c r="BD556" s="56" t="s">
        <v>576</v>
      </c>
      <c r="BE556" s="303" t="s">
        <v>1057</v>
      </c>
      <c r="BF556" s="344"/>
      <c r="BG556" s="344"/>
      <c r="BH556" s="344"/>
      <c r="BI556" s="344"/>
      <c r="BJ556" s="344"/>
      <c r="BK556" s="344"/>
      <c r="BL556" s="344"/>
      <c r="BO556" s="344"/>
      <c r="BP556" s="344"/>
    </row>
    <row r="557" spans="54:68">
      <c r="BB557" s="794">
        <v>612266</v>
      </c>
      <c r="BC557" s="344" t="str">
        <f t="shared" si="8"/>
        <v>札幌市南区簾舞六条</v>
      </c>
      <c r="BD557" s="56" t="s">
        <v>576</v>
      </c>
      <c r="BE557" s="303" t="s">
        <v>1058</v>
      </c>
      <c r="BF557" s="344"/>
      <c r="BG557" s="344"/>
      <c r="BH557" s="344"/>
      <c r="BI557" s="344"/>
      <c r="BJ557" s="344"/>
      <c r="BK557" s="344"/>
      <c r="BL557" s="344"/>
      <c r="BO557" s="344"/>
      <c r="BP557" s="344"/>
    </row>
    <row r="558" spans="54:68">
      <c r="BB558" s="794">
        <v>612272</v>
      </c>
      <c r="BC558" s="344" t="str">
        <f t="shared" si="8"/>
        <v>札幌市南区簾舞</v>
      </c>
      <c r="BD558" s="56" t="s">
        <v>576</v>
      </c>
      <c r="BE558" s="303" t="s">
        <v>1362</v>
      </c>
      <c r="BF558" s="344"/>
      <c r="BG558" s="344"/>
      <c r="BH558" s="344"/>
      <c r="BI558" s="344"/>
      <c r="BJ558" s="344"/>
      <c r="BK558" s="344"/>
      <c r="BL558" s="344"/>
      <c r="BO558" s="344"/>
      <c r="BP558" s="344"/>
    </row>
    <row r="559" spans="54:68">
      <c r="BB559" s="794">
        <v>50827</v>
      </c>
      <c r="BC559" s="344" t="str">
        <f t="shared" si="8"/>
        <v>札幌市南区南沢</v>
      </c>
      <c r="BD559" s="56" t="s">
        <v>576</v>
      </c>
      <c r="BE559" s="303" t="s">
        <v>1059</v>
      </c>
      <c r="BF559" s="344"/>
      <c r="BG559" s="344"/>
      <c r="BH559" s="344"/>
      <c r="BI559" s="344"/>
      <c r="BJ559" s="344"/>
      <c r="BK559" s="344"/>
      <c r="BL559" s="344"/>
      <c r="BO559" s="344"/>
      <c r="BP559" s="344"/>
    </row>
    <row r="560" spans="54:68">
      <c r="BB560" s="794">
        <v>50821</v>
      </c>
      <c r="BC560" s="344" t="str">
        <f t="shared" si="8"/>
        <v>札幌市南区南沢一条</v>
      </c>
      <c r="BD560" s="56" t="s">
        <v>576</v>
      </c>
      <c r="BE560" s="303" t="s">
        <v>1060</v>
      </c>
      <c r="BF560" s="344"/>
      <c r="BG560" s="344"/>
      <c r="BH560" s="344"/>
      <c r="BI560" s="344"/>
      <c r="BJ560" s="344"/>
      <c r="BK560" s="344"/>
      <c r="BL560" s="344"/>
      <c r="BO560" s="344"/>
      <c r="BP560" s="344"/>
    </row>
    <row r="561" spans="54:68">
      <c r="BB561" s="794">
        <v>50822</v>
      </c>
      <c r="BC561" s="344" t="str">
        <f t="shared" si="8"/>
        <v>札幌市南区南沢二条</v>
      </c>
      <c r="BD561" s="56" t="s">
        <v>576</v>
      </c>
      <c r="BE561" s="303" t="s">
        <v>1061</v>
      </c>
      <c r="BF561" s="344"/>
      <c r="BG561" s="344"/>
      <c r="BH561" s="344"/>
      <c r="BI561" s="344"/>
      <c r="BJ561" s="344"/>
      <c r="BK561" s="344"/>
      <c r="BL561" s="344"/>
      <c r="BO561" s="344"/>
      <c r="BP561" s="344"/>
    </row>
    <row r="562" spans="54:68">
      <c r="BB562" s="794">
        <v>50823</v>
      </c>
      <c r="BC562" s="344" t="str">
        <f t="shared" si="8"/>
        <v>札幌市南区南沢三条</v>
      </c>
      <c r="BD562" s="56" t="s">
        <v>576</v>
      </c>
      <c r="BE562" s="303" t="s">
        <v>1062</v>
      </c>
      <c r="BF562" s="344"/>
      <c r="BG562" s="344"/>
      <c r="BH562" s="344"/>
      <c r="BI562" s="344"/>
      <c r="BJ562" s="344"/>
      <c r="BK562" s="344"/>
      <c r="BL562" s="344"/>
      <c r="BO562" s="344"/>
      <c r="BP562" s="344"/>
    </row>
    <row r="563" spans="54:68">
      <c r="BB563" s="794">
        <v>50824</v>
      </c>
      <c r="BC563" s="344" t="str">
        <f t="shared" si="8"/>
        <v>札幌市南区南沢四条</v>
      </c>
      <c r="BD563" s="56" t="s">
        <v>576</v>
      </c>
      <c r="BE563" s="303" t="s">
        <v>1063</v>
      </c>
      <c r="BF563" s="344"/>
      <c r="BG563" s="344"/>
      <c r="BH563" s="344"/>
      <c r="BI563" s="344"/>
      <c r="BJ563" s="344"/>
      <c r="BK563" s="344"/>
      <c r="BL563" s="344"/>
      <c r="BO563" s="344"/>
      <c r="BP563" s="344"/>
    </row>
    <row r="564" spans="54:68">
      <c r="BB564" s="794">
        <v>50825</v>
      </c>
      <c r="BC564" s="344" t="str">
        <f t="shared" si="8"/>
        <v>札幌市南区南沢五条</v>
      </c>
      <c r="BD564" s="56" t="s">
        <v>576</v>
      </c>
      <c r="BE564" s="303" t="s">
        <v>1064</v>
      </c>
      <c r="BF564" s="344"/>
      <c r="BG564" s="344"/>
      <c r="BH564" s="344"/>
      <c r="BI564" s="344"/>
      <c r="BJ564" s="344"/>
      <c r="BK564" s="344"/>
      <c r="BL564" s="344"/>
      <c r="BO564" s="344"/>
      <c r="BP564" s="344"/>
    </row>
    <row r="565" spans="54:68">
      <c r="BB565" s="794">
        <v>50826</v>
      </c>
      <c r="BC565" s="344" t="str">
        <f t="shared" si="8"/>
        <v>札幌市南区南沢六条</v>
      </c>
      <c r="BD565" s="56" t="s">
        <v>576</v>
      </c>
      <c r="BE565" s="303" t="s">
        <v>1065</v>
      </c>
      <c r="BF565" s="344"/>
      <c r="BG565" s="344"/>
      <c r="BH565" s="344"/>
      <c r="BI565" s="344"/>
      <c r="BJ565" s="344"/>
      <c r="BK565" s="344"/>
      <c r="BL565" s="344"/>
      <c r="BO565" s="344"/>
      <c r="BP565" s="344"/>
    </row>
    <row r="566" spans="54:68">
      <c r="BB566" s="794">
        <v>50030</v>
      </c>
      <c r="BC566" s="344" t="str">
        <f t="shared" si="8"/>
        <v>札幌市南区南三十条西８丁目</v>
      </c>
      <c r="BD566" s="56" t="s">
        <v>576</v>
      </c>
      <c r="BE566" s="303" t="s">
        <v>2279</v>
      </c>
      <c r="BF566" s="344"/>
      <c r="BG566" s="344"/>
      <c r="BH566" s="344"/>
      <c r="BI566" s="344"/>
      <c r="BJ566" s="344"/>
      <c r="BK566" s="344"/>
      <c r="BL566" s="344"/>
      <c r="BO566" s="344"/>
      <c r="BP566" s="344"/>
    </row>
    <row r="567" spans="54:68">
      <c r="BB567" s="794">
        <v>50031</v>
      </c>
      <c r="BC567" s="344" t="str">
        <f t="shared" si="8"/>
        <v>札幌市南区南三十一条西</v>
      </c>
      <c r="BD567" s="56" t="s">
        <v>576</v>
      </c>
      <c r="BE567" s="303" t="s">
        <v>1066</v>
      </c>
      <c r="BF567" s="344"/>
      <c r="BG567" s="344"/>
      <c r="BH567" s="344"/>
      <c r="BI567" s="344"/>
      <c r="BJ567" s="344"/>
      <c r="BK567" s="344"/>
      <c r="BL567" s="344"/>
      <c r="BO567" s="344"/>
      <c r="BP567" s="344"/>
    </row>
    <row r="568" spans="54:68">
      <c r="BB568" s="794">
        <v>50032</v>
      </c>
      <c r="BC568" s="344" t="str">
        <f t="shared" si="8"/>
        <v>札幌市南区南三十二条西</v>
      </c>
      <c r="BD568" s="56" t="s">
        <v>576</v>
      </c>
      <c r="BE568" s="303" t="s">
        <v>1067</v>
      </c>
      <c r="BF568" s="344"/>
      <c r="BG568" s="344"/>
      <c r="BH568" s="344"/>
      <c r="BI568" s="344"/>
      <c r="BJ568" s="344"/>
      <c r="BK568" s="344"/>
      <c r="BL568" s="344"/>
      <c r="BO568" s="344"/>
      <c r="BP568" s="344"/>
    </row>
    <row r="569" spans="54:68">
      <c r="BB569" s="794">
        <v>50033</v>
      </c>
      <c r="BC569" s="344" t="str">
        <f t="shared" si="8"/>
        <v>札幌市南区南三十三条西</v>
      </c>
      <c r="BD569" s="56" t="s">
        <v>576</v>
      </c>
      <c r="BE569" s="303" t="s">
        <v>1068</v>
      </c>
      <c r="BF569" s="344"/>
      <c r="BG569" s="344"/>
      <c r="BH569" s="344"/>
      <c r="BI569" s="344"/>
      <c r="BJ569" s="344"/>
      <c r="BK569" s="344"/>
      <c r="BL569" s="344"/>
      <c r="BO569" s="344"/>
      <c r="BP569" s="344"/>
    </row>
    <row r="570" spans="54:68">
      <c r="BB570" s="794">
        <v>50034</v>
      </c>
      <c r="BC570" s="344" t="str">
        <f t="shared" si="8"/>
        <v>札幌市南区南三十四条西</v>
      </c>
      <c r="BD570" s="56" t="s">
        <v>576</v>
      </c>
      <c r="BE570" s="303" t="s">
        <v>1069</v>
      </c>
      <c r="BF570" s="344"/>
      <c r="BG570" s="344"/>
      <c r="BH570" s="344"/>
      <c r="BI570" s="344"/>
      <c r="BJ570" s="344"/>
      <c r="BK570" s="344"/>
      <c r="BL570" s="344"/>
      <c r="BO570" s="344"/>
      <c r="BP570" s="344"/>
    </row>
    <row r="571" spans="54:68">
      <c r="BB571" s="794">
        <v>50035</v>
      </c>
      <c r="BC571" s="344" t="str">
        <f t="shared" si="8"/>
        <v>札幌市南区南三十五条西</v>
      </c>
      <c r="BD571" s="56" t="s">
        <v>576</v>
      </c>
      <c r="BE571" s="303" t="s">
        <v>1070</v>
      </c>
      <c r="BF571" s="344"/>
      <c r="BG571" s="344"/>
      <c r="BH571" s="344"/>
      <c r="BI571" s="344"/>
      <c r="BJ571" s="344"/>
      <c r="BK571" s="344"/>
      <c r="BL571" s="344"/>
      <c r="BO571" s="344"/>
      <c r="BP571" s="344"/>
    </row>
    <row r="572" spans="54:68">
      <c r="BB572" s="794">
        <v>50036</v>
      </c>
      <c r="BC572" s="344" t="str">
        <f t="shared" si="8"/>
        <v>札幌市南区南三十六条西</v>
      </c>
      <c r="BD572" s="56" t="s">
        <v>576</v>
      </c>
      <c r="BE572" s="303" t="s">
        <v>1071</v>
      </c>
      <c r="BF572" s="344"/>
      <c r="BG572" s="344"/>
      <c r="BH572" s="344"/>
      <c r="BI572" s="344"/>
      <c r="BJ572" s="344"/>
      <c r="BK572" s="344"/>
      <c r="BL572" s="344"/>
      <c r="BO572" s="344"/>
      <c r="BP572" s="344"/>
    </row>
    <row r="573" spans="54:68">
      <c r="BB573" s="794">
        <v>50037</v>
      </c>
      <c r="BC573" s="344" t="str">
        <f t="shared" si="8"/>
        <v>札幌市南区南三十七条西</v>
      </c>
      <c r="BD573" s="56" t="s">
        <v>576</v>
      </c>
      <c r="BE573" s="303" t="s">
        <v>1072</v>
      </c>
      <c r="BF573" s="344"/>
      <c r="BG573" s="344"/>
      <c r="BH573" s="344"/>
      <c r="BI573" s="344"/>
      <c r="BJ573" s="344"/>
      <c r="BK573" s="344"/>
      <c r="BL573" s="344"/>
      <c r="BO573" s="344"/>
      <c r="BP573" s="344"/>
    </row>
    <row r="574" spans="54:68">
      <c r="BB574" s="794">
        <v>50038</v>
      </c>
      <c r="BC574" s="344" t="str">
        <f t="shared" si="8"/>
        <v>札幌市南区南三十八条西</v>
      </c>
      <c r="BD574" s="56" t="s">
        <v>576</v>
      </c>
      <c r="BE574" s="303" t="s">
        <v>1073</v>
      </c>
      <c r="BF574" s="344"/>
      <c r="BG574" s="344"/>
      <c r="BH574" s="344"/>
      <c r="BI574" s="344"/>
      <c r="BJ574" s="344"/>
      <c r="BK574" s="344"/>
      <c r="BL574" s="344"/>
      <c r="BO574" s="344"/>
      <c r="BP574" s="344"/>
    </row>
    <row r="575" spans="54:68">
      <c r="BB575" s="794">
        <v>50039</v>
      </c>
      <c r="BC575" s="344" t="str">
        <f t="shared" ref="BC575:BC638" si="9">BD575&amp;BE575</f>
        <v>札幌市南区南三十九条西</v>
      </c>
      <c r="BD575" s="56" t="s">
        <v>576</v>
      </c>
      <c r="BE575" s="303" t="s">
        <v>1074</v>
      </c>
      <c r="BF575" s="344"/>
      <c r="BG575" s="344"/>
      <c r="BH575" s="344"/>
      <c r="BI575" s="344"/>
      <c r="BJ575" s="344"/>
      <c r="BK575" s="344"/>
      <c r="BL575" s="344"/>
      <c r="BO575" s="344"/>
      <c r="BP575" s="344"/>
    </row>
    <row r="576" spans="54:68">
      <c r="BB576" s="794">
        <v>50040</v>
      </c>
      <c r="BC576" s="344" t="str">
        <f t="shared" si="9"/>
        <v>札幌市南区藻岩下</v>
      </c>
      <c r="BD576" s="56" t="s">
        <v>576</v>
      </c>
      <c r="BE576" s="303" t="s">
        <v>1075</v>
      </c>
      <c r="BF576" s="344"/>
      <c r="BG576" s="344"/>
      <c r="BH576" s="344"/>
      <c r="BI576" s="344"/>
      <c r="BJ576" s="344"/>
      <c r="BK576" s="344"/>
      <c r="BL576" s="344"/>
      <c r="BO576" s="344"/>
      <c r="BP576" s="344"/>
    </row>
    <row r="577" spans="54:68">
      <c r="BB577" s="794">
        <v>50041</v>
      </c>
      <c r="BC577" s="344" t="str">
        <f t="shared" si="9"/>
        <v>札幌市南区藻岩山</v>
      </c>
      <c r="BD577" s="56" t="s">
        <v>576</v>
      </c>
      <c r="BE577" s="303" t="s">
        <v>1076</v>
      </c>
      <c r="BF577" s="344"/>
      <c r="BG577" s="344"/>
      <c r="BH577" s="344"/>
      <c r="BI577" s="344"/>
      <c r="BJ577" s="344"/>
      <c r="BK577" s="344"/>
      <c r="BL577" s="344"/>
      <c r="BO577" s="344"/>
      <c r="BP577" s="344"/>
    </row>
    <row r="578" spans="54:68">
      <c r="BB578" s="794">
        <v>630000</v>
      </c>
      <c r="BC578" s="344" t="str">
        <f t="shared" si="9"/>
        <v>札幌市西区</v>
      </c>
      <c r="BD578" s="56" t="s">
        <v>577</v>
      </c>
      <c r="BE578" s="303"/>
      <c r="BF578" s="344"/>
      <c r="BG578" s="344"/>
      <c r="BH578" s="344"/>
      <c r="BI578" s="344"/>
      <c r="BJ578" s="344"/>
      <c r="BK578" s="344"/>
      <c r="BL578" s="344"/>
      <c r="BO578" s="344"/>
      <c r="BP578" s="344"/>
    </row>
    <row r="579" spans="54:68">
      <c r="BB579" s="794">
        <v>630811</v>
      </c>
      <c r="BC579" s="344" t="str">
        <f t="shared" si="9"/>
        <v>札幌市西区琴似一条</v>
      </c>
      <c r="BD579" s="56" t="s">
        <v>577</v>
      </c>
      <c r="BE579" s="303" t="s">
        <v>1077</v>
      </c>
      <c r="BF579" s="344"/>
      <c r="BG579" s="344"/>
      <c r="BH579" s="344"/>
      <c r="BI579" s="344"/>
      <c r="BJ579" s="344"/>
      <c r="BK579" s="344"/>
      <c r="BL579" s="344"/>
      <c r="BO579" s="344"/>
      <c r="BP579" s="344"/>
    </row>
    <row r="580" spans="54:68">
      <c r="BB580" s="794">
        <v>630812</v>
      </c>
      <c r="BC580" s="344" t="str">
        <f t="shared" si="9"/>
        <v>札幌市西区琴似二条</v>
      </c>
      <c r="BD580" s="56" t="s">
        <v>577</v>
      </c>
      <c r="BE580" s="303" t="s">
        <v>1078</v>
      </c>
      <c r="BF580" s="344"/>
      <c r="BG580" s="344"/>
      <c r="BH580" s="344"/>
      <c r="BI580" s="344"/>
      <c r="BJ580" s="344"/>
      <c r="BK580" s="344"/>
      <c r="BL580" s="344"/>
      <c r="BO580" s="344"/>
      <c r="BP580" s="344"/>
    </row>
    <row r="581" spans="54:68">
      <c r="BB581" s="794">
        <v>630813</v>
      </c>
      <c r="BC581" s="344" t="str">
        <f t="shared" si="9"/>
        <v>札幌市西区琴似三条</v>
      </c>
      <c r="BD581" s="56" t="s">
        <v>577</v>
      </c>
      <c r="BE581" s="303" t="s">
        <v>1079</v>
      </c>
      <c r="BF581" s="344"/>
      <c r="BG581" s="344"/>
      <c r="BH581" s="344"/>
      <c r="BI581" s="344"/>
      <c r="BJ581" s="344"/>
      <c r="BK581" s="344"/>
      <c r="BL581" s="344"/>
      <c r="BO581" s="344"/>
      <c r="BP581" s="344"/>
    </row>
    <row r="582" spans="54:68">
      <c r="BB582" s="794">
        <v>630814</v>
      </c>
      <c r="BC582" s="344" t="str">
        <f t="shared" si="9"/>
        <v>札幌市西区琴似四条</v>
      </c>
      <c r="BD582" s="56" t="s">
        <v>577</v>
      </c>
      <c r="BE582" s="303" t="s">
        <v>1080</v>
      </c>
      <c r="BF582" s="344"/>
      <c r="BG582" s="344"/>
      <c r="BH582" s="344"/>
      <c r="BI582" s="344"/>
      <c r="BJ582" s="344"/>
      <c r="BK582" s="344"/>
      <c r="BL582" s="344"/>
      <c r="BO582" s="344"/>
      <c r="BP582" s="344"/>
    </row>
    <row r="583" spans="54:68">
      <c r="BB583" s="794">
        <v>630011</v>
      </c>
      <c r="BC583" s="344" t="str">
        <f t="shared" si="9"/>
        <v>札幌市西区小別沢</v>
      </c>
      <c r="BD583" s="56" t="s">
        <v>577</v>
      </c>
      <c r="BE583" s="303" t="s">
        <v>1081</v>
      </c>
      <c r="BF583" s="344"/>
      <c r="BG583" s="344"/>
      <c r="BH583" s="344"/>
      <c r="BI583" s="344"/>
      <c r="BJ583" s="344"/>
      <c r="BK583" s="344"/>
      <c r="BL583" s="344"/>
      <c r="BO583" s="344"/>
      <c r="BP583" s="344"/>
    </row>
    <row r="584" spans="54:68">
      <c r="BB584" s="794">
        <v>630049</v>
      </c>
      <c r="BC584" s="344" t="str">
        <f t="shared" si="9"/>
        <v>札幌市西区西野</v>
      </c>
      <c r="BD584" s="56" t="s">
        <v>577</v>
      </c>
      <c r="BE584" s="303" t="s">
        <v>1082</v>
      </c>
      <c r="BF584" s="344"/>
      <c r="BG584" s="344"/>
      <c r="BH584" s="344"/>
      <c r="BI584" s="344"/>
      <c r="BJ584" s="344"/>
      <c r="BK584" s="344"/>
      <c r="BL584" s="344"/>
      <c r="BO584" s="344"/>
      <c r="BP584" s="344"/>
    </row>
    <row r="585" spans="54:68">
      <c r="BB585" s="794">
        <v>630031</v>
      </c>
      <c r="BC585" s="344" t="str">
        <f t="shared" si="9"/>
        <v>札幌市西区西野一条</v>
      </c>
      <c r="BD585" s="56" t="s">
        <v>577</v>
      </c>
      <c r="BE585" s="303" t="s">
        <v>1083</v>
      </c>
      <c r="BF585" s="344"/>
      <c r="BG585" s="344"/>
      <c r="BH585" s="344"/>
      <c r="BI585" s="344"/>
      <c r="BJ585" s="344"/>
      <c r="BK585" s="344"/>
      <c r="BL585" s="344"/>
      <c r="BO585" s="344"/>
      <c r="BP585" s="344"/>
    </row>
    <row r="586" spans="54:68">
      <c r="BB586" s="794">
        <v>630032</v>
      </c>
      <c r="BC586" s="344" t="str">
        <f t="shared" si="9"/>
        <v>札幌市西区西野二条</v>
      </c>
      <c r="BD586" s="56" t="s">
        <v>577</v>
      </c>
      <c r="BE586" s="303" t="s">
        <v>1084</v>
      </c>
      <c r="BF586" s="344"/>
      <c r="BG586" s="344"/>
      <c r="BH586" s="344"/>
      <c r="BI586" s="344"/>
      <c r="BJ586" s="344"/>
      <c r="BK586" s="344"/>
      <c r="BL586" s="344"/>
      <c r="BO586" s="344"/>
      <c r="BP586" s="344"/>
    </row>
    <row r="587" spans="54:68">
      <c r="BB587" s="794">
        <v>630033</v>
      </c>
      <c r="BC587" s="344" t="str">
        <f t="shared" si="9"/>
        <v>札幌市西区西野三条</v>
      </c>
      <c r="BD587" s="56" t="s">
        <v>577</v>
      </c>
      <c r="BE587" s="303" t="s">
        <v>1085</v>
      </c>
      <c r="BF587" s="344"/>
      <c r="BG587" s="344"/>
      <c r="BH587" s="344"/>
      <c r="BI587" s="344"/>
      <c r="BJ587" s="344"/>
      <c r="BK587" s="344"/>
      <c r="BL587" s="344"/>
      <c r="BO587" s="344"/>
      <c r="BP587" s="344"/>
    </row>
    <row r="588" spans="54:68">
      <c r="BB588" s="794">
        <v>630034</v>
      </c>
      <c r="BC588" s="344" t="str">
        <f t="shared" si="9"/>
        <v>札幌市西区西野四条</v>
      </c>
      <c r="BD588" s="56" t="s">
        <v>577</v>
      </c>
      <c r="BE588" s="303" t="s">
        <v>1086</v>
      </c>
      <c r="BF588" s="344"/>
      <c r="BG588" s="344"/>
      <c r="BH588" s="344"/>
      <c r="BI588" s="344"/>
      <c r="BJ588" s="344"/>
      <c r="BK588" s="344"/>
      <c r="BL588" s="344"/>
      <c r="BO588" s="344"/>
      <c r="BP588" s="344"/>
    </row>
    <row r="589" spans="54:68">
      <c r="BB589" s="794">
        <v>630035</v>
      </c>
      <c r="BC589" s="344" t="str">
        <f t="shared" si="9"/>
        <v>札幌市西区西野五条</v>
      </c>
      <c r="BD589" s="56" t="s">
        <v>577</v>
      </c>
      <c r="BE589" s="303" t="s">
        <v>1087</v>
      </c>
      <c r="BF589" s="344"/>
      <c r="BG589" s="344"/>
      <c r="BH589" s="344"/>
      <c r="BI589" s="344"/>
      <c r="BJ589" s="344"/>
      <c r="BK589" s="344"/>
      <c r="BL589" s="344"/>
      <c r="BO589" s="344"/>
      <c r="BP589" s="344"/>
    </row>
    <row r="590" spans="54:68">
      <c r="BB590" s="794">
        <v>630036</v>
      </c>
      <c r="BC590" s="344" t="str">
        <f t="shared" si="9"/>
        <v>札幌市西区西野六条</v>
      </c>
      <c r="BD590" s="56" t="s">
        <v>577</v>
      </c>
      <c r="BE590" s="303" t="s">
        <v>1088</v>
      </c>
      <c r="BF590" s="344"/>
      <c r="BG590" s="344"/>
      <c r="BH590" s="344"/>
      <c r="BI590" s="344"/>
      <c r="BJ590" s="344"/>
      <c r="BK590" s="344"/>
      <c r="BL590" s="344"/>
      <c r="BO590" s="344"/>
      <c r="BP590" s="344"/>
    </row>
    <row r="591" spans="54:68">
      <c r="BB591" s="794">
        <v>630037</v>
      </c>
      <c r="BC591" s="344" t="str">
        <f t="shared" si="9"/>
        <v>札幌市西区西野七条</v>
      </c>
      <c r="BD591" s="56" t="s">
        <v>577</v>
      </c>
      <c r="BE591" s="303" t="s">
        <v>1089</v>
      </c>
      <c r="BF591" s="344"/>
      <c r="BG591" s="344"/>
      <c r="BH591" s="344"/>
      <c r="BI591" s="344"/>
      <c r="BJ591" s="344"/>
      <c r="BK591" s="344"/>
      <c r="BL591" s="344"/>
      <c r="BO591" s="344"/>
      <c r="BP591" s="344"/>
    </row>
    <row r="592" spans="54:68">
      <c r="BB592" s="794">
        <v>630038</v>
      </c>
      <c r="BC592" s="344" t="str">
        <f t="shared" si="9"/>
        <v>札幌市西区西野八条</v>
      </c>
      <c r="BD592" s="56" t="s">
        <v>577</v>
      </c>
      <c r="BE592" s="303" t="s">
        <v>1090</v>
      </c>
      <c r="BF592" s="344"/>
      <c r="BG592" s="344"/>
      <c r="BH592" s="344"/>
      <c r="BI592" s="344"/>
      <c r="BJ592" s="344"/>
      <c r="BK592" s="344"/>
      <c r="BL592" s="344"/>
      <c r="BO592" s="344"/>
      <c r="BP592" s="344"/>
    </row>
    <row r="593" spans="54:68">
      <c r="BB593" s="794">
        <v>630039</v>
      </c>
      <c r="BC593" s="344" t="str">
        <f t="shared" si="9"/>
        <v>札幌市西区西野九条</v>
      </c>
      <c r="BD593" s="56" t="s">
        <v>577</v>
      </c>
      <c r="BE593" s="303" t="s">
        <v>1091</v>
      </c>
      <c r="BF593" s="344"/>
      <c r="BG593" s="344"/>
      <c r="BH593" s="344"/>
      <c r="BI593" s="344"/>
      <c r="BJ593" s="344"/>
      <c r="BK593" s="344"/>
      <c r="BL593" s="344"/>
      <c r="BO593" s="344"/>
      <c r="BP593" s="344"/>
    </row>
    <row r="594" spans="54:68">
      <c r="BB594" s="794">
        <v>630040</v>
      </c>
      <c r="BC594" s="344" t="str">
        <f t="shared" si="9"/>
        <v>札幌市西区西野十条</v>
      </c>
      <c r="BD594" s="56" t="s">
        <v>577</v>
      </c>
      <c r="BE594" s="303" t="s">
        <v>1092</v>
      </c>
      <c r="BF594" s="344"/>
      <c r="BG594" s="344"/>
      <c r="BH594" s="344"/>
      <c r="BI594" s="344"/>
      <c r="BJ594" s="344"/>
      <c r="BK594" s="344"/>
      <c r="BL594" s="344"/>
      <c r="BO594" s="344"/>
      <c r="BP594" s="344"/>
    </row>
    <row r="595" spans="54:68">
      <c r="BB595" s="794">
        <v>630041</v>
      </c>
      <c r="BC595" s="344" t="str">
        <f t="shared" si="9"/>
        <v>札幌市西区西野十一条</v>
      </c>
      <c r="BD595" s="56" t="s">
        <v>577</v>
      </c>
      <c r="BE595" s="303" t="s">
        <v>1093</v>
      </c>
      <c r="BF595" s="344"/>
      <c r="BG595" s="344"/>
      <c r="BH595" s="344"/>
      <c r="BI595" s="344"/>
      <c r="BJ595" s="344"/>
      <c r="BK595" s="344"/>
      <c r="BL595" s="344"/>
      <c r="BO595" s="344"/>
      <c r="BP595" s="344"/>
    </row>
    <row r="596" spans="54:68">
      <c r="BB596" s="794">
        <v>630042</v>
      </c>
      <c r="BC596" s="344" t="str">
        <f t="shared" si="9"/>
        <v>札幌市西区西野十二条</v>
      </c>
      <c r="BD596" s="56" t="s">
        <v>577</v>
      </c>
      <c r="BE596" s="303" t="s">
        <v>1094</v>
      </c>
      <c r="BF596" s="344"/>
      <c r="BG596" s="344"/>
      <c r="BH596" s="344"/>
      <c r="BI596" s="344"/>
      <c r="BJ596" s="344"/>
      <c r="BK596" s="344"/>
      <c r="BL596" s="344"/>
      <c r="BO596" s="344"/>
      <c r="BP596" s="344"/>
    </row>
    <row r="597" spans="54:68">
      <c r="BB597" s="794">
        <v>630043</v>
      </c>
      <c r="BC597" s="344" t="str">
        <f t="shared" si="9"/>
        <v>札幌市西区西野十三条</v>
      </c>
      <c r="BD597" s="56" t="s">
        <v>577</v>
      </c>
      <c r="BE597" s="303" t="s">
        <v>1095</v>
      </c>
      <c r="BF597" s="344"/>
      <c r="BG597" s="344"/>
      <c r="BH597" s="344"/>
      <c r="BI597" s="344"/>
      <c r="BJ597" s="344"/>
      <c r="BK597" s="344"/>
      <c r="BL597" s="344"/>
      <c r="BO597" s="344"/>
      <c r="BP597" s="344"/>
    </row>
    <row r="598" spans="54:68">
      <c r="BB598" s="794">
        <v>630044</v>
      </c>
      <c r="BC598" s="344" t="str">
        <f t="shared" si="9"/>
        <v>札幌市西区西野十四条</v>
      </c>
      <c r="BD598" s="56" t="s">
        <v>577</v>
      </c>
      <c r="BE598" s="303" t="s">
        <v>1096</v>
      </c>
      <c r="BF598" s="344"/>
      <c r="BG598" s="344"/>
      <c r="BH598" s="344"/>
      <c r="BI598" s="344"/>
      <c r="BJ598" s="344"/>
      <c r="BK598" s="344"/>
      <c r="BL598" s="344"/>
      <c r="BO598" s="344"/>
      <c r="BP598" s="344"/>
    </row>
    <row r="599" spans="54:68">
      <c r="BB599" s="794">
        <v>630062</v>
      </c>
      <c r="BC599" s="344" t="str">
        <f t="shared" si="9"/>
        <v>札幌市西区西町南</v>
      </c>
      <c r="BD599" s="56" t="s">
        <v>577</v>
      </c>
      <c r="BE599" s="303" t="s">
        <v>1097</v>
      </c>
      <c r="BF599" s="344"/>
      <c r="BG599" s="344"/>
      <c r="BH599" s="344"/>
      <c r="BI599" s="344"/>
      <c r="BJ599" s="344"/>
      <c r="BK599" s="344"/>
      <c r="BL599" s="344"/>
      <c r="BO599" s="344"/>
      <c r="BP599" s="344"/>
    </row>
    <row r="600" spans="54:68">
      <c r="BB600" s="794">
        <v>630061</v>
      </c>
      <c r="BC600" s="344" t="str">
        <f t="shared" si="9"/>
        <v>札幌市西区西町北</v>
      </c>
      <c r="BD600" s="56" t="s">
        <v>577</v>
      </c>
      <c r="BE600" s="303" t="s">
        <v>1098</v>
      </c>
      <c r="BF600" s="344"/>
      <c r="BG600" s="344"/>
      <c r="BH600" s="344"/>
      <c r="BI600" s="344"/>
      <c r="BJ600" s="344"/>
      <c r="BK600" s="344"/>
      <c r="BL600" s="344"/>
      <c r="BO600" s="344"/>
      <c r="BP600" s="344"/>
    </row>
    <row r="601" spans="54:68">
      <c r="BB601" s="794">
        <v>630801</v>
      </c>
      <c r="BC601" s="344" t="str">
        <f t="shared" si="9"/>
        <v>札幌市西区二十四軒一条</v>
      </c>
      <c r="BD601" s="56" t="s">
        <v>577</v>
      </c>
      <c r="BE601" s="303" t="s">
        <v>1099</v>
      </c>
      <c r="BF601" s="344"/>
      <c r="BG601" s="344"/>
      <c r="BH601" s="344"/>
      <c r="BI601" s="344"/>
      <c r="BJ601" s="344"/>
      <c r="BK601" s="344"/>
      <c r="BL601" s="344"/>
      <c r="BO601" s="344"/>
      <c r="BP601" s="344"/>
    </row>
    <row r="602" spans="54:68">
      <c r="BB602" s="794">
        <v>630802</v>
      </c>
      <c r="BC602" s="344" t="str">
        <f t="shared" si="9"/>
        <v>札幌市西区二十四軒二条</v>
      </c>
      <c r="BD602" s="56" t="s">
        <v>577</v>
      </c>
      <c r="BE602" s="303" t="s">
        <v>1100</v>
      </c>
      <c r="BF602" s="344"/>
      <c r="BG602" s="344"/>
      <c r="BH602" s="344"/>
      <c r="BI602" s="344"/>
      <c r="BJ602" s="344"/>
      <c r="BK602" s="344"/>
      <c r="BL602" s="344"/>
      <c r="BO602" s="344"/>
      <c r="BP602" s="344"/>
    </row>
    <row r="603" spans="54:68">
      <c r="BB603" s="794">
        <v>630803</v>
      </c>
      <c r="BC603" s="344" t="str">
        <f t="shared" si="9"/>
        <v>札幌市西区二十四軒三条</v>
      </c>
      <c r="BD603" s="56" t="s">
        <v>577</v>
      </c>
      <c r="BE603" s="303" t="s">
        <v>1101</v>
      </c>
      <c r="BF603" s="344"/>
      <c r="BG603" s="344"/>
      <c r="BH603" s="344"/>
      <c r="BI603" s="344"/>
      <c r="BJ603" s="344"/>
      <c r="BK603" s="344"/>
      <c r="BL603" s="344"/>
      <c r="BO603" s="344"/>
      <c r="BP603" s="344"/>
    </row>
    <row r="604" spans="54:68">
      <c r="BB604" s="794">
        <v>630804</v>
      </c>
      <c r="BC604" s="344" t="str">
        <f t="shared" si="9"/>
        <v>札幌市西区二十四軒四条</v>
      </c>
      <c r="BD604" s="56" t="s">
        <v>577</v>
      </c>
      <c r="BE604" s="303" t="s">
        <v>1102</v>
      </c>
      <c r="BF604" s="344"/>
      <c r="BG604" s="344"/>
      <c r="BH604" s="344"/>
      <c r="BI604" s="344"/>
      <c r="BJ604" s="344"/>
      <c r="BK604" s="344"/>
      <c r="BL604" s="344"/>
      <c r="BO604" s="344"/>
      <c r="BP604" s="344"/>
    </row>
    <row r="605" spans="54:68">
      <c r="BB605" s="794">
        <v>630861</v>
      </c>
      <c r="BC605" s="344" t="str">
        <f t="shared" si="9"/>
        <v>札幌市西区八軒一条東</v>
      </c>
      <c r="BD605" s="56" t="s">
        <v>577</v>
      </c>
      <c r="BE605" s="303" t="s">
        <v>1103</v>
      </c>
      <c r="BF605" s="344"/>
      <c r="BG605" s="344"/>
      <c r="BH605" s="344"/>
      <c r="BI605" s="344"/>
      <c r="BJ605" s="344"/>
      <c r="BK605" s="344"/>
      <c r="BL605" s="344"/>
      <c r="BO605" s="344"/>
      <c r="BP605" s="344"/>
    </row>
    <row r="606" spans="54:68">
      <c r="BB606" s="794">
        <v>630841</v>
      </c>
      <c r="BC606" s="344" t="str">
        <f t="shared" si="9"/>
        <v>札幌市西区八軒一条西</v>
      </c>
      <c r="BD606" s="56" t="s">
        <v>577</v>
      </c>
      <c r="BE606" s="303" t="s">
        <v>1104</v>
      </c>
      <c r="BF606" s="344"/>
      <c r="BG606" s="344"/>
      <c r="BH606" s="344"/>
      <c r="BI606" s="344"/>
      <c r="BJ606" s="344"/>
      <c r="BK606" s="344"/>
      <c r="BL606" s="344"/>
      <c r="BO606" s="344"/>
      <c r="BP606" s="344"/>
    </row>
    <row r="607" spans="54:68">
      <c r="BB607" s="794">
        <v>630862</v>
      </c>
      <c r="BC607" s="344" t="str">
        <f t="shared" si="9"/>
        <v>札幌市西区八軒二条東</v>
      </c>
      <c r="BD607" s="56" t="s">
        <v>577</v>
      </c>
      <c r="BE607" s="303" t="s">
        <v>1105</v>
      </c>
      <c r="BF607" s="344"/>
      <c r="BG607" s="344"/>
      <c r="BH607" s="344"/>
      <c r="BI607" s="344"/>
      <c r="BJ607" s="344"/>
      <c r="BK607" s="344"/>
      <c r="BL607" s="344"/>
      <c r="BO607" s="344"/>
      <c r="BP607" s="344"/>
    </row>
    <row r="608" spans="54:68">
      <c r="BB608" s="794">
        <v>630842</v>
      </c>
      <c r="BC608" s="344" t="str">
        <f t="shared" si="9"/>
        <v>札幌市西区八軒二条西</v>
      </c>
      <c r="BD608" s="56" t="s">
        <v>577</v>
      </c>
      <c r="BE608" s="303" t="s">
        <v>1106</v>
      </c>
      <c r="BF608" s="344"/>
      <c r="BG608" s="344"/>
      <c r="BH608" s="344"/>
      <c r="BI608" s="344"/>
      <c r="BJ608" s="344"/>
      <c r="BK608" s="344"/>
      <c r="BL608" s="344"/>
      <c r="BO608" s="344"/>
      <c r="BP608" s="344"/>
    </row>
    <row r="609" spans="54:68">
      <c r="BB609" s="794">
        <v>630863</v>
      </c>
      <c r="BC609" s="344" t="str">
        <f t="shared" si="9"/>
        <v>札幌市西区八軒三条東</v>
      </c>
      <c r="BD609" s="56" t="s">
        <v>577</v>
      </c>
      <c r="BE609" s="303" t="s">
        <v>1107</v>
      </c>
      <c r="BF609" s="344"/>
      <c r="BG609" s="344"/>
      <c r="BH609" s="344"/>
      <c r="BI609" s="344"/>
      <c r="BJ609" s="344"/>
      <c r="BK609" s="344"/>
      <c r="BL609" s="344"/>
      <c r="BO609" s="344"/>
      <c r="BP609" s="344"/>
    </row>
    <row r="610" spans="54:68">
      <c r="BB610" s="794">
        <v>630843</v>
      </c>
      <c r="BC610" s="344" t="str">
        <f t="shared" si="9"/>
        <v>札幌市西区八軒三条西</v>
      </c>
      <c r="BD610" s="56" t="s">
        <v>577</v>
      </c>
      <c r="BE610" s="303" t="s">
        <v>1108</v>
      </c>
      <c r="BF610" s="344"/>
      <c r="BG610" s="344"/>
      <c r="BH610" s="344"/>
      <c r="BI610" s="344"/>
      <c r="BJ610" s="344"/>
      <c r="BK610" s="344"/>
      <c r="BL610" s="344"/>
      <c r="BO610" s="344"/>
      <c r="BP610" s="344"/>
    </row>
    <row r="611" spans="54:68">
      <c r="BB611" s="794">
        <v>630864</v>
      </c>
      <c r="BC611" s="344" t="str">
        <f t="shared" si="9"/>
        <v>札幌市西区八軒四条東</v>
      </c>
      <c r="BD611" s="56" t="s">
        <v>577</v>
      </c>
      <c r="BE611" s="303" t="s">
        <v>1109</v>
      </c>
      <c r="BF611" s="344"/>
      <c r="BG611" s="344"/>
      <c r="BH611" s="344"/>
      <c r="BI611" s="344"/>
      <c r="BJ611" s="344"/>
      <c r="BK611" s="344"/>
      <c r="BL611" s="344"/>
      <c r="BO611" s="344"/>
      <c r="BP611" s="344"/>
    </row>
    <row r="612" spans="54:68">
      <c r="BB612" s="794">
        <v>630844</v>
      </c>
      <c r="BC612" s="344" t="str">
        <f t="shared" si="9"/>
        <v>札幌市西区八軒四条西</v>
      </c>
      <c r="BD612" s="56" t="s">
        <v>577</v>
      </c>
      <c r="BE612" s="303" t="s">
        <v>1110</v>
      </c>
      <c r="BF612" s="344"/>
      <c r="BG612" s="344"/>
      <c r="BH612" s="344"/>
      <c r="BI612" s="344"/>
      <c r="BJ612" s="344"/>
      <c r="BK612" s="344"/>
      <c r="BL612" s="344"/>
      <c r="BO612" s="344"/>
      <c r="BP612" s="344"/>
    </row>
    <row r="613" spans="54:68">
      <c r="BB613" s="794">
        <v>630865</v>
      </c>
      <c r="BC613" s="344" t="str">
        <f t="shared" si="9"/>
        <v>札幌市西区八軒五条東</v>
      </c>
      <c r="BD613" s="56" t="s">
        <v>577</v>
      </c>
      <c r="BE613" s="303" t="s">
        <v>1111</v>
      </c>
      <c r="BF613" s="344"/>
      <c r="BG613" s="344"/>
      <c r="BH613" s="344"/>
      <c r="BI613" s="344"/>
      <c r="BJ613" s="344"/>
      <c r="BK613" s="344"/>
      <c r="BL613" s="344"/>
      <c r="BO613" s="344"/>
      <c r="BP613" s="344"/>
    </row>
    <row r="614" spans="54:68">
      <c r="BB614" s="794">
        <v>630845</v>
      </c>
      <c r="BC614" s="344" t="str">
        <f t="shared" si="9"/>
        <v>札幌市西区八軒五条西</v>
      </c>
      <c r="BD614" s="56" t="s">
        <v>577</v>
      </c>
      <c r="BE614" s="303" t="s">
        <v>1112</v>
      </c>
      <c r="BF614" s="344"/>
      <c r="BG614" s="344"/>
      <c r="BH614" s="344"/>
      <c r="BI614" s="344"/>
      <c r="BJ614" s="344"/>
      <c r="BK614" s="344"/>
      <c r="BL614" s="344"/>
      <c r="BO614" s="344"/>
      <c r="BP614" s="344"/>
    </row>
    <row r="615" spans="54:68">
      <c r="BB615" s="794">
        <v>630866</v>
      </c>
      <c r="BC615" s="344" t="str">
        <f t="shared" si="9"/>
        <v>札幌市西区八軒六条東</v>
      </c>
      <c r="BD615" s="56" t="s">
        <v>577</v>
      </c>
      <c r="BE615" s="303" t="s">
        <v>1113</v>
      </c>
      <c r="BF615" s="344"/>
      <c r="BG615" s="344"/>
      <c r="BH615" s="344"/>
      <c r="BI615" s="344"/>
      <c r="BJ615" s="344"/>
      <c r="BK615" s="344"/>
      <c r="BL615" s="344"/>
      <c r="BO615" s="344"/>
      <c r="BP615" s="344"/>
    </row>
    <row r="616" spans="54:68">
      <c r="BB616" s="794">
        <v>630846</v>
      </c>
      <c r="BC616" s="344" t="str">
        <f t="shared" si="9"/>
        <v>札幌市西区八軒六条西</v>
      </c>
      <c r="BD616" s="56" t="s">
        <v>577</v>
      </c>
      <c r="BE616" s="303" t="s">
        <v>1114</v>
      </c>
      <c r="BF616" s="344"/>
      <c r="BG616" s="344"/>
      <c r="BH616" s="344"/>
      <c r="BI616" s="344"/>
      <c r="BJ616" s="344"/>
      <c r="BK616" s="344"/>
      <c r="BL616" s="344"/>
      <c r="BO616" s="344"/>
      <c r="BP616" s="344"/>
    </row>
    <row r="617" spans="54:68">
      <c r="BB617" s="794">
        <v>630867</v>
      </c>
      <c r="BC617" s="344" t="str">
        <f t="shared" si="9"/>
        <v>札幌市西区八軒七条東</v>
      </c>
      <c r="BD617" s="56" t="s">
        <v>577</v>
      </c>
      <c r="BE617" s="303" t="s">
        <v>1115</v>
      </c>
      <c r="BF617" s="344"/>
      <c r="BG617" s="344"/>
      <c r="BH617" s="344"/>
      <c r="BI617" s="344"/>
      <c r="BJ617" s="344"/>
      <c r="BK617" s="344"/>
      <c r="BL617" s="344"/>
      <c r="BO617" s="344"/>
      <c r="BP617" s="344"/>
    </row>
    <row r="618" spans="54:68">
      <c r="BB618" s="794">
        <v>630847</v>
      </c>
      <c r="BC618" s="344" t="str">
        <f t="shared" si="9"/>
        <v>札幌市西区八軒七条西</v>
      </c>
      <c r="BD618" s="56" t="s">
        <v>577</v>
      </c>
      <c r="BE618" s="303" t="s">
        <v>1116</v>
      </c>
      <c r="BF618" s="344"/>
      <c r="BG618" s="344"/>
      <c r="BH618" s="344"/>
      <c r="BI618" s="344"/>
      <c r="BJ618" s="344"/>
      <c r="BK618" s="344"/>
      <c r="BL618" s="344"/>
      <c r="BO618" s="344"/>
      <c r="BP618" s="344"/>
    </row>
    <row r="619" spans="54:68">
      <c r="BB619" s="794">
        <v>630868</v>
      </c>
      <c r="BC619" s="344" t="str">
        <f t="shared" si="9"/>
        <v>札幌市西区八軒八条東</v>
      </c>
      <c r="BD619" s="56" t="s">
        <v>577</v>
      </c>
      <c r="BE619" s="303" t="s">
        <v>1117</v>
      </c>
      <c r="BF619" s="344"/>
      <c r="BG619" s="344"/>
      <c r="BH619" s="344"/>
      <c r="BI619" s="344"/>
      <c r="BJ619" s="344"/>
      <c r="BK619" s="344"/>
      <c r="BL619" s="344"/>
      <c r="BO619" s="344"/>
      <c r="BP619" s="344"/>
    </row>
    <row r="620" spans="54:68">
      <c r="BB620" s="794">
        <v>630848</v>
      </c>
      <c r="BC620" s="344" t="str">
        <f t="shared" si="9"/>
        <v>札幌市西区八軒八条西</v>
      </c>
      <c r="BD620" s="56" t="s">
        <v>577</v>
      </c>
      <c r="BE620" s="303" t="s">
        <v>1118</v>
      </c>
      <c r="BF620" s="344"/>
      <c r="BG620" s="344"/>
      <c r="BH620" s="344"/>
      <c r="BI620" s="344"/>
      <c r="BJ620" s="344"/>
      <c r="BK620" s="344"/>
      <c r="BL620" s="344"/>
      <c r="BO620" s="344"/>
      <c r="BP620" s="344"/>
    </row>
    <row r="621" spans="54:68">
      <c r="BB621" s="794">
        <v>630869</v>
      </c>
      <c r="BC621" s="344" t="str">
        <f t="shared" si="9"/>
        <v>札幌市西区八軒九条東</v>
      </c>
      <c r="BD621" s="56" t="s">
        <v>577</v>
      </c>
      <c r="BE621" s="303" t="s">
        <v>1119</v>
      </c>
      <c r="BF621" s="344"/>
      <c r="BG621" s="344"/>
      <c r="BH621" s="344"/>
      <c r="BI621" s="344"/>
      <c r="BJ621" s="344"/>
      <c r="BK621" s="344"/>
      <c r="BL621" s="344"/>
      <c r="BO621" s="344"/>
      <c r="BP621" s="344"/>
    </row>
    <row r="622" spans="54:68">
      <c r="BB622" s="794">
        <v>630849</v>
      </c>
      <c r="BC622" s="344" t="str">
        <f t="shared" si="9"/>
        <v>札幌市西区八軒九条西</v>
      </c>
      <c r="BD622" s="56" t="s">
        <v>577</v>
      </c>
      <c r="BE622" s="303" t="s">
        <v>1120</v>
      </c>
      <c r="BF622" s="344"/>
      <c r="BG622" s="344"/>
      <c r="BH622" s="344"/>
      <c r="BI622" s="344"/>
      <c r="BJ622" s="344"/>
      <c r="BK622" s="344"/>
      <c r="BL622" s="344"/>
      <c r="BO622" s="344"/>
      <c r="BP622" s="344"/>
    </row>
    <row r="623" spans="54:68">
      <c r="BB623" s="794">
        <v>630870</v>
      </c>
      <c r="BC623" s="344" t="str">
        <f t="shared" si="9"/>
        <v>札幌市西区八軒十条東</v>
      </c>
      <c r="BD623" s="56" t="s">
        <v>577</v>
      </c>
      <c r="BE623" s="303" t="s">
        <v>1121</v>
      </c>
      <c r="BF623" s="344"/>
      <c r="BG623" s="344"/>
      <c r="BH623" s="344"/>
      <c r="BI623" s="344"/>
      <c r="BJ623" s="344"/>
      <c r="BK623" s="344"/>
      <c r="BL623" s="344"/>
      <c r="BO623" s="344"/>
      <c r="BP623" s="344"/>
    </row>
    <row r="624" spans="54:68">
      <c r="BB624" s="794">
        <v>630850</v>
      </c>
      <c r="BC624" s="344" t="str">
        <f t="shared" si="9"/>
        <v>札幌市西区八軒十条西</v>
      </c>
      <c r="BD624" s="56" t="s">
        <v>577</v>
      </c>
      <c r="BE624" s="303" t="s">
        <v>1122</v>
      </c>
      <c r="BF624" s="344"/>
      <c r="BG624" s="344"/>
      <c r="BH624" s="344"/>
      <c r="BI624" s="344"/>
      <c r="BJ624" s="344"/>
      <c r="BK624" s="344"/>
      <c r="BL624" s="344"/>
      <c r="BO624" s="344"/>
      <c r="BP624" s="344"/>
    </row>
    <row r="625" spans="54:68">
      <c r="BB625" s="794">
        <v>630821</v>
      </c>
      <c r="BC625" s="344" t="str">
        <f t="shared" si="9"/>
        <v>札幌市西区発寒一条</v>
      </c>
      <c r="BD625" s="56" t="s">
        <v>577</v>
      </c>
      <c r="BE625" s="303" t="s">
        <v>1123</v>
      </c>
      <c r="BF625" s="344"/>
      <c r="BG625" s="344"/>
      <c r="BH625" s="344"/>
      <c r="BI625" s="344"/>
      <c r="BJ625" s="344"/>
      <c r="BK625" s="344"/>
      <c r="BL625" s="344"/>
      <c r="BO625" s="344"/>
      <c r="BP625" s="344"/>
    </row>
    <row r="626" spans="54:68">
      <c r="BB626" s="794">
        <v>630822</v>
      </c>
      <c r="BC626" s="344" t="str">
        <f t="shared" si="9"/>
        <v>札幌市西区発寒二条</v>
      </c>
      <c r="BD626" s="56" t="s">
        <v>577</v>
      </c>
      <c r="BE626" s="303" t="s">
        <v>1124</v>
      </c>
      <c r="BF626" s="344"/>
      <c r="BG626" s="344"/>
      <c r="BH626" s="344"/>
      <c r="BI626" s="344"/>
      <c r="BJ626" s="344"/>
      <c r="BK626" s="344"/>
      <c r="BL626" s="344"/>
      <c r="BO626" s="344"/>
      <c r="BP626" s="344"/>
    </row>
    <row r="627" spans="54:68">
      <c r="BB627" s="794">
        <v>630823</v>
      </c>
      <c r="BC627" s="344" t="str">
        <f t="shared" si="9"/>
        <v>札幌市西区発寒三条</v>
      </c>
      <c r="BD627" s="56" t="s">
        <v>577</v>
      </c>
      <c r="BE627" s="303" t="s">
        <v>1125</v>
      </c>
      <c r="BF627" s="344"/>
      <c r="BG627" s="344"/>
      <c r="BH627" s="344"/>
      <c r="BI627" s="344"/>
      <c r="BJ627" s="344"/>
      <c r="BK627" s="344"/>
      <c r="BL627" s="344"/>
      <c r="BO627" s="344"/>
      <c r="BP627" s="344"/>
    </row>
    <row r="628" spans="54:68">
      <c r="BB628" s="794">
        <v>630824</v>
      </c>
      <c r="BC628" s="344" t="str">
        <f t="shared" si="9"/>
        <v>札幌市西区発寒四条</v>
      </c>
      <c r="BD628" s="56" t="s">
        <v>577</v>
      </c>
      <c r="BE628" s="303" t="s">
        <v>1126</v>
      </c>
      <c r="BF628" s="344"/>
      <c r="BG628" s="344"/>
      <c r="BH628" s="344"/>
      <c r="BI628" s="344"/>
      <c r="BJ628" s="344"/>
      <c r="BK628" s="344"/>
      <c r="BL628" s="344"/>
      <c r="BO628" s="344"/>
      <c r="BP628" s="344"/>
    </row>
    <row r="629" spans="54:68">
      <c r="BB629" s="794">
        <v>630825</v>
      </c>
      <c r="BC629" s="344" t="str">
        <f t="shared" si="9"/>
        <v>札幌市西区発寒五条</v>
      </c>
      <c r="BD629" s="56" t="s">
        <v>577</v>
      </c>
      <c r="BE629" s="303" t="s">
        <v>1127</v>
      </c>
      <c r="BF629" s="344"/>
      <c r="BG629" s="344"/>
      <c r="BH629" s="344"/>
      <c r="BI629" s="344"/>
      <c r="BJ629" s="344"/>
      <c r="BK629" s="344"/>
      <c r="BL629" s="344"/>
      <c r="BO629" s="344"/>
      <c r="BP629" s="344"/>
    </row>
    <row r="630" spans="54:68">
      <c r="BB630" s="794">
        <v>630826</v>
      </c>
      <c r="BC630" s="344" t="str">
        <f t="shared" si="9"/>
        <v>札幌市西区発寒六条</v>
      </c>
      <c r="BD630" s="56" t="s">
        <v>577</v>
      </c>
      <c r="BE630" s="303" t="s">
        <v>1128</v>
      </c>
      <c r="BF630" s="344"/>
      <c r="BG630" s="344"/>
      <c r="BH630" s="344"/>
      <c r="BI630" s="344"/>
      <c r="BJ630" s="344"/>
      <c r="BK630" s="344"/>
      <c r="BL630" s="344"/>
      <c r="BO630" s="344"/>
      <c r="BP630" s="344"/>
    </row>
    <row r="631" spans="54:68">
      <c r="BB631" s="794">
        <v>630827</v>
      </c>
      <c r="BC631" s="344" t="str">
        <f t="shared" si="9"/>
        <v>札幌市西区発寒七条</v>
      </c>
      <c r="BD631" s="56" t="s">
        <v>577</v>
      </c>
      <c r="BE631" s="303" t="s">
        <v>1129</v>
      </c>
      <c r="BF631" s="344"/>
      <c r="BG631" s="344"/>
      <c r="BH631" s="344"/>
      <c r="BI631" s="344"/>
      <c r="BJ631" s="344"/>
      <c r="BK631" s="344"/>
      <c r="BL631" s="344"/>
      <c r="BO631" s="344"/>
      <c r="BP631" s="344"/>
    </row>
    <row r="632" spans="54:68">
      <c r="BB632" s="794">
        <v>630828</v>
      </c>
      <c r="BC632" s="344" t="str">
        <f t="shared" si="9"/>
        <v>札幌市西区発寒八条</v>
      </c>
      <c r="BD632" s="56" t="s">
        <v>577</v>
      </c>
      <c r="BE632" s="303" t="s">
        <v>1130</v>
      </c>
      <c r="BF632" s="344"/>
      <c r="BG632" s="344"/>
      <c r="BH632" s="344"/>
      <c r="BI632" s="344"/>
      <c r="BJ632" s="344"/>
      <c r="BK632" s="344"/>
      <c r="BL632" s="344"/>
      <c r="BO632" s="344"/>
      <c r="BP632" s="344"/>
    </row>
    <row r="633" spans="54:68">
      <c r="BB633" s="794">
        <v>630829</v>
      </c>
      <c r="BC633" s="344" t="str">
        <f t="shared" si="9"/>
        <v>札幌市西区発寒九条</v>
      </c>
      <c r="BD633" s="56" t="s">
        <v>577</v>
      </c>
      <c r="BE633" s="303" t="s">
        <v>1131</v>
      </c>
      <c r="BF633" s="344"/>
      <c r="BG633" s="344"/>
      <c r="BH633" s="344"/>
      <c r="BI633" s="344"/>
      <c r="BJ633" s="344"/>
      <c r="BK633" s="344"/>
      <c r="BL633" s="344"/>
      <c r="BO633" s="344"/>
      <c r="BP633" s="344"/>
    </row>
    <row r="634" spans="54:68">
      <c r="BB634" s="794">
        <v>630830</v>
      </c>
      <c r="BC634" s="344" t="str">
        <f t="shared" si="9"/>
        <v>札幌市西区発寒十条</v>
      </c>
      <c r="BD634" s="56" t="s">
        <v>577</v>
      </c>
      <c r="BE634" s="303" t="s">
        <v>1132</v>
      </c>
      <c r="BF634" s="344"/>
      <c r="BG634" s="344"/>
      <c r="BH634" s="344"/>
      <c r="BI634" s="344"/>
      <c r="BJ634" s="344"/>
      <c r="BK634" s="344"/>
      <c r="BL634" s="344"/>
      <c r="BO634" s="344"/>
      <c r="BP634" s="344"/>
    </row>
    <row r="635" spans="54:68">
      <c r="BB635" s="794">
        <v>630831</v>
      </c>
      <c r="BC635" s="344" t="str">
        <f t="shared" si="9"/>
        <v>札幌市西区発寒十一条</v>
      </c>
      <c r="BD635" s="56" t="s">
        <v>577</v>
      </c>
      <c r="BE635" s="303" t="s">
        <v>1133</v>
      </c>
      <c r="BF635" s="344"/>
      <c r="BG635" s="344"/>
      <c r="BH635" s="344"/>
      <c r="BI635" s="344"/>
      <c r="BJ635" s="344"/>
      <c r="BK635" s="344"/>
      <c r="BL635" s="344"/>
      <c r="BO635" s="344"/>
      <c r="BP635" s="344"/>
    </row>
    <row r="636" spans="54:68">
      <c r="BB636" s="794">
        <v>630832</v>
      </c>
      <c r="BC636" s="344" t="str">
        <f t="shared" si="9"/>
        <v>札幌市西区発寒十二条</v>
      </c>
      <c r="BD636" s="56" t="s">
        <v>577</v>
      </c>
      <c r="BE636" s="303" t="s">
        <v>1134</v>
      </c>
      <c r="BF636" s="344"/>
      <c r="BG636" s="344"/>
      <c r="BH636" s="344"/>
      <c r="BI636" s="344"/>
      <c r="BJ636" s="344"/>
      <c r="BK636" s="344"/>
      <c r="BL636" s="344"/>
      <c r="BO636" s="344"/>
      <c r="BP636" s="344"/>
    </row>
    <row r="637" spans="54:68">
      <c r="BB637" s="794">
        <v>630833</v>
      </c>
      <c r="BC637" s="344" t="str">
        <f t="shared" si="9"/>
        <v>札幌市西区発寒十三条</v>
      </c>
      <c r="BD637" s="56" t="s">
        <v>577</v>
      </c>
      <c r="BE637" s="303" t="s">
        <v>1135</v>
      </c>
      <c r="BF637" s="344"/>
      <c r="BG637" s="344"/>
      <c r="BH637" s="344"/>
      <c r="BI637" s="344"/>
      <c r="BJ637" s="344"/>
      <c r="BK637" s="344"/>
      <c r="BL637" s="344"/>
      <c r="BO637" s="344"/>
      <c r="BP637" s="344"/>
    </row>
    <row r="638" spans="54:68">
      <c r="BB638" s="794">
        <v>630834</v>
      </c>
      <c r="BC638" s="344" t="str">
        <f t="shared" si="9"/>
        <v>札幌市西区発寒十四条</v>
      </c>
      <c r="BD638" s="56" t="s">
        <v>577</v>
      </c>
      <c r="BE638" s="303" t="s">
        <v>1136</v>
      </c>
      <c r="BF638" s="344"/>
      <c r="BG638" s="344"/>
      <c r="BH638" s="344"/>
      <c r="BI638" s="344"/>
      <c r="BJ638" s="344"/>
      <c r="BK638" s="344"/>
      <c r="BL638" s="344"/>
      <c r="BO638" s="344"/>
      <c r="BP638" s="344"/>
    </row>
    <row r="639" spans="54:68">
      <c r="BB639" s="794">
        <v>630835</v>
      </c>
      <c r="BC639" s="344" t="str">
        <f t="shared" ref="BC639:BC702" si="10">BD639&amp;BE639</f>
        <v>札幌市西区発寒十五条</v>
      </c>
      <c r="BD639" s="56" t="s">
        <v>577</v>
      </c>
      <c r="BE639" s="303" t="s">
        <v>1137</v>
      </c>
      <c r="BF639" s="344"/>
      <c r="BG639" s="344"/>
      <c r="BH639" s="344"/>
      <c r="BI639" s="344"/>
      <c r="BJ639" s="344"/>
      <c r="BK639" s="344"/>
      <c r="BL639" s="344"/>
      <c r="BO639" s="344"/>
      <c r="BP639" s="344"/>
    </row>
    <row r="640" spans="54:68">
      <c r="BB640" s="794">
        <v>630836</v>
      </c>
      <c r="BC640" s="344" t="str">
        <f t="shared" si="10"/>
        <v>札幌市西区発寒十六条</v>
      </c>
      <c r="BD640" s="56" t="s">
        <v>577</v>
      </c>
      <c r="BE640" s="303" t="s">
        <v>1138</v>
      </c>
      <c r="BF640" s="344"/>
      <c r="BG640" s="344"/>
      <c r="BH640" s="344"/>
      <c r="BI640" s="344"/>
      <c r="BJ640" s="344"/>
      <c r="BK640" s="344"/>
      <c r="BL640" s="344"/>
      <c r="BO640" s="344"/>
      <c r="BP640" s="344"/>
    </row>
    <row r="641" spans="54:68">
      <c r="BB641" s="794">
        <v>630837</v>
      </c>
      <c r="BC641" s="344" t="str">
        <f t="shared" si="10"/>
        <v>札幌市西区発寒十七条</v>
      </c>
      <c r="BD641" s="56" t="s">
        <v>577</v>
      </c>
      <c r="BE641" s="303" t="s">
        <v>1139</v>
      </c>
      <c r="BF641" s="344"/>
      <c r="BG641" s="344"/>
      <c r="BH641" s="344"/>
      <c r="BI641" s="344"/>
      <c r="BJ641" s="344"/>
      <c r="BK641" s="344"/>
      <c r="BL641" s="344"/>
      <c r="BO641" s="344"/>
      <c r="BP641" s="344"/>
    </row>
    <row r="642" spans="54:68">
      <c r="BB642" s="794">
        <v>630012</v>
      </c>
      <c r="BC642" s="344" t="str">
        <f t="shared" si="10"/>
        <v>札幌市西区福井</v>
      </c>
      <c r="BD642" s="56" t="s">
        <v>577</v>
      </c>
      <c r="BE642" s="303" t="s">
        <v>1140</v>
      </c>
      <c r="BF642" s="344"/>
      <c r="BG642" s="344"/>
      <c r="BH642" s="344"/>
      <c r="BI642" s="344"/>
      <c r="BJ642" s="344"/>
      <c r="BK642" s="344"/>
      <c r="BL642" s="344"/>
      <c r="BO642" s="344"/>
      <c r="BP642" s="344"/>
    </row>
    <row r="643" spans="54:68">
      <c r="BB643" s="794">
        <v>630029</v>
      </c>
      <c r="BC643" s="344" t="str">
        <f t="shared" si="10"/>
        <v>札幌市西区平和</v>
      </c>
      <c r="BD643" s="56" t="s">
        <v>577</v>
      </c>
      <c r="BE643" s="303" t="s">
        <v>1141</v>
      </c>
      <c r="BF643" s="344"/>
      <c r="BG643" s="344"/>
      <c r="BH643" s="344"/>
      <c r="BI643" s="344"/>
      <c r="BJ643" s="344"/>
      <c r="BK643" s="344"/>
      <c r="BL643" s="344"/>
      <c r="BO643" s="344"/>
      <c r="BP643" s="344"/>
    </row>
    <row r="644" spans="54:68">
      <c r="BB644" s="794">
        <v>630021</v>
      </c>
      <c r="BC644" s="344" t="str">
        <f t="shared" si="10"/>
        <v>札幌市西区平和一条</v>
      </c>
      <c r="BD644" s="56" t="s">
        <v>577</v>
      </c>
      <c r="BE644" s="303" t="s">
        <v>1142</v>
      </c>
      <c r="BF644" s="344"/>
      <c r="BG644" s="344"/>
      <c r="BH644" s="344"/>
      <c r="BI644" s="344"/>
      <c r="BJ644" s="344"/>
      <c r="BK644" s="344"/>
      <c r="BL644" s="344"/>
      <c r="BO644" s="344"/>
      <c r="BP644" s="344"/>
    </row>
    <row r="645" spans="54:68">
      <c r="BB645" s="794">
        <v>630022</v>
      </c>
      <c r="BC645" s="344" t="str">
        <f t="shared" si="10"/>
        <v>札幌市西区平和二条</v>
      </c>
      <c r="BD645" s="56" t="s">
        <v>577</v>
      </c>
      <c r="BE645" s="303" t="s">
        <v>1143</v>
      </c>
      <c r="BF645" s="344"/>
      <c r="BG645" s="344"/>
      <c r="BH645" s="344"/>
      <c r="BI645" s="344"/>
      <c r="BJ645" s="344"/>
      <c r="BK645" s="344"/>
      <c r="BL645" s="344"/>
      <c r="BO645" s="344"/>
      <c r="BP645" s="344"/>
    </row>
    <row r="646" spans="54:68">
      <c r="BB646" s="794">
        <v>630023</v>
      </c>
      <c r="BC646" s="344" t="str">
        <f t="shared" si="10"/>
        <v>札幌市西区平和三条</v>
      </c>
      <c r="BD646" s="56" t="s">
        <v>577</v>
      </c>
      <c r="BE646" s="303" t="s">
        <v>1144</v>
      </c>
      <c r="BF646" s="344"/>
      <c r="BG646" s="344"/>
      <c r="BH646" s="344"/>
      <c r="BI646" s="344"/>
      <c r="BJ646" s="344"/>
      <c r="BK646" s="344"/>
      <c r="BL646" s="344"/>
      <c r="BO646" s="344"/>
      <c r="BP646" s="344"/>
    </row>
    <row r="647" spans="54:68">
      <c r="BB647" s="794">
        <v>630059</v>
      </c>
      <c r="BC647" s="344" t="str">
        <f t="shared" si="10"/>
        <v>札幌市西区宮の沢</v>
      </c>
      <c r="BD647" s="56" t="s">
        <v>577</v>
      </c>
      <c r="BE647" s="303" t="s">
        <v>1145</v>
      </c>
      <c r="BF647" s="344"/>
      <c r="BG647" s="344"/>
      <c r="BH647" s="344"/>
      <c r="BI647" s="344"/>
      <c r="BJ647" s="344"/>
      <c r="BK647" s="344"/>
      <c r="BL647" s="344"/>
      <c r="BO647" s="344"/>
      <c r="BP647" s="344"/>
    </row>
    <row r="648" spans="54:68">
      <c r="BB648" s="794">
        <v>630051</v>
      </c>
      <c r="BC648" s="344" t="str">
        <f t="shared" si="10"/>
        <v>札幌市西区宮の沢一条</v>
      </c>
      <c r="BD648" s="56" t="s">
        <v>577</v>
      </c>
      <c r="BE648" s="303" t="s">
        <v>1146</v>
      </c>
      <c r="BF648" s="344"/>
      <c r="BG648" s="344"/>
      <c r="BH648" s="344"/>
      <c r="BI648" s="344"/>
      <c r="BJ648" s="344"/>
      <c r="BK648" s="344"/>
      <c r="BL648" s="344"/>
      <c r="BO648" s="344"/>
      <c r="BP648" s="344"/>
    </row>
    <row r="649" spans="54:68">
      <c r="BB649" s="794">
        <v>630052</v>
      </c>
      <c r="BC649" s="344" t="str">
        <f t="shared" si="10"/>
        <v>札幌市西区宮の沢二条</v>
      </c>
      <c r="BD649" s="56" t="s">
        <v>577</v>
      </c>
      <c r="BE649" s="303" t="s">
        <v>1147</v>
      </c>
      <c r="BF649" s="344"/>
      <c r="BG649" s="344"/>
      <c r="BH649" s="344"/>
      <c r="BI649" s="344"/>
      <c r="BJ649" s="344"/>
      <c r="BK649" s="344"/>
      <c r="BL649" s="344"/>
      <c r="BO649" s="344"/>
      <c r="BP649" s="344"/>
    </row>
    <row r="650" spans="54:68">
      <c r="BB650" s="794">
        <v>630053</v>
      </c>
      <c r="BC650" s="344" t="str">
        <f t="shared" si="10"/>
        <v>札幌市西区宮の沢三条</v>
      </c>
      <c r="BD650" s="56" t="s">
        <v>577</v>
      </c>
      <c r="BE650" s="303" t="s">
        <v>1148</v>
      </c>
      <c r="BF650" s="344"/>
      <c r="BG650" s="344"/>
      <c r="BH650" s="344"/>
      <c r="BI650" s="344"/>
      <c r="BJ650" s="344"/>
      <c r="BK650" s="344"/>
      <c r="BL650" s="344"/>
      <c r="BO650" s="344"/>
      <c r="BP650" s="344"/>
    </row>
    <row r="651" spans="54:68">
      <c r="BB651" s="794">
        <v>630054</v>
      </c>
      <c r="BC651" s="344" t="str">
        <f t="shared" si="10"/>
        <v>札幌市西区宮の沢四条</v>
      </c>
      <c r="BD651" s="56" t="s">
        <v>577</v>
      </c>
      <c r="BE651" s="303" t="s">
        <v>1149</v>
      </c>
      <c r="BF651" s="344"/>
      <c r="BG651" s="344"/>
      <c r="BH651" s="344"/>
      <c r="BI651" s="344"/>
      <c r="BJ651" s="344"/>
      <c r="BK651" s="344"/>
      <c r="BL651" s="344"/>
      <c r="BO651" s="344"/>
      <c r="BP651" s="344"/>
    </row>
    <row r="652" spans="54:68">
      <c r="BB652" s="794">
        <v>630009</v>
      </c>
      <c r="BC652" s="344" t="str">
        <f t="shared" si="10"/>
        <v>札幌市西区山の手</v>
      </c>
      <c r="BD652" s="56" t="s">
        <v>577</v>
      </c>
      <c r="BE652" s="303" t="s">
        <v>1150</v>
      </c>
      <c r="BF652" s="344"/>
      <c r="BG652" s="344"/>
      <c r="BH652" s="344"/>
      <c r="BI652" s="344"/>
      <c r="BJ652" s="344"/>
      <c r="BK652" s="344"/>
      <c r="BL652" s="344"/>
      <c r="BO652" s="344"/>
      <c r="BP652" s="344"/>
    </row>
    <row r="653" spans="54:68">
      <c r="BB653" s="794">
        <v>630001</v>
      </c>
      <c r="BC653" s="344" t="str">
        <f t="shared" si="10"/>
        <v>札幌市西区山の手一条</v>
      </c>
      <c r="BD653" s="56" t="s">
        <v>577</v>
      </c>
      <c r="BE653" s="303" t="s">
        <v>1151</v>
      </c>
      <c r="BF653" s="344"/>
      <c r="BG653" s="344"/>
      <c r="BH653" s="344"/>
      <c r="BI653" s="344"/>
      <c r="BJ653" s="344"/>
      <c r="BK653" s="344"/>
      <c r="BL653" s="344"/>
      <c r="BO653" s="344"/>
      <c r="BP653" s="344"/>
    </row>
    <row r="654" spans="54:68">
      <c r="BB654" s="794">
        <v>630002</v>
      </c>
      <c r="BC654" s="344" t="str">
        <f t="shared" si="10"/>
        <v>札幌市西区山の手二条</v>
      </c>
      <c r="BD654" s="56" t="s">
        <v>577</v>
      </c>
      <c r="BE654" s="303" t="s">
        <v>1152</v>
      </c>
      <c r="BF654" s="344"/>
      <c r="BG654" s="344"/>
      <c r="BH654" s="344"/>
      <c r="BI654" s="344"/>
      <c r="BJ654" s="344"/>
      <c r="BK654" s="344"/>
      <c r="BL654" s="344"/>
      <c r="BO654" s="344"/>
      <c r="BP654" s="344"/>
    </row>
    <row r="655" spans="54:68">
      <c r="BB655" s="794">
        <v>630003</v>
      </c>
      <c r="BC655" s="344" t="str">
        <f t="shared" si="10"/>
        <v>札幌市西区山の手三条</v>
      </c>
      <c r="BD655" s="56" t="s">
        <v>577</v>
      </c>
      <c r="BE655" s="303" t="s">
        <v>1153</v>
      </c>
      <c r="BF655" s="344"/>
      <c r="BG655" s="344"/>
      <c r="BH655" s="344"/>
      <c r="BI655" s="344"/>
      <c r="BJ655" s="344"/>
      <c r="BK655" s="344"/>
      <c r="BL655" s="344"/>
      <c r="BO655" s="344"/>
      <c r="BP655" s="344"/>
    </row>
    <row r="656" spans="54:68">
      <c r="BB656" s="794">
        <v>630004</v>
      </c>
      <c r="BC656" s="344" t="str">
        <f t="shared" si="10"/>
        <v>札幌市西区山の手四条</v>
      </c>
      <c r="BD656" s="56" t="s">
        <v>577</v>
      </c>
      <c r="BE656" s="303" t="s">
        <v>1154</v>
      </c>
      <c r="BF656" s="344"/>
      <c r="BG656" s="344"/>
      <c r="BH656" s="344"/>
      <c r="BI656" s="344"/>
      <c r="BJ656" s="344"/>
      <c r="BK656" s="344"/>
      <c r="BL656" s="344"/>
      <c r="BO656" s="344"/>
      <c r="BP656" s="344"/>
    </row>
    <row r="657" spans="54:68">
      <c r="BB657" s="794">
        <v>630005</v>
      </c>
      <c r="BC657" s="344" t="str">
        <f t="shared" si="10"/>
        <v>札幌市西区山の手五条</v>
      </c>
      <c r="BD657" s="56" t="s">
        <v>577</v>
      </c>
      <c r="BE657" s="303" t="s">
        <v>1155</v>
      </c>
      <c r="BF657" s="344"/>
      <c r="BG657" s="344"/>
      <c r="BH657" s="344"/>
      <c r="BI657" s="344"/>
      <c r="BJ657" s="344"/>
      <c r="BK657" s="344"/>
      <c r="BL657" s="344"/>
      <c r="BO657" s="344"/>
      <c r="BP657" s="344"/>
    </row>
    <row r="658" spans="54:68">
      <c r="BB658" s="794">
        <v>630006</v>
      </c>
      <c r="BC658" s="344" t="str">
        <f t="shared" si="10"/>
        <v>札幌市西区山の手六条</v>
      </c>
      <c r="BD658" s="56" t="s">
        <v>577</v>
      </c>
      <c r="BE658" s="303" t="s">
        <v>1156</v>
      </c>
      <c r="BF658" s="344"/>
      <c r="BG658" s="344"/>
      <c r="BH658" s="344"/>
      <c r="BI658" s="344"/>
      <c r="BJ658" s="344"/>
      <c r="BK658" s="344"/>
      <c r="BL658" s="344"/>
      <c r="BO658" s="344"/>
      <c r="BP658" s="344"/>
    </row>
    <row r="659" spans="54:68">
      <c r="BB659" s="794">
        <v>630007</v>
      </c>
      <c r="BC659" s="344" t="str">
        <f t="shared" si="10"/>
        <v>札幌市西区山の手七条</v>
      </c>
      <c r="BD659" s="56" t="s">
        <v>577</v>
      </c>
      <c r="BE659" s="303" t="s">
        <v>1157</v>
      </c>
      <c r="BF659" s="344"/>
      <c r="BG659" s="344"/>
      <c r="BH659" s="344"/>
      <c r="BI659" s="344"/>
      <c r="BJ659" s="344"/>
      <c r="BK659" s="344"/>
      <c r="BL659" s="344"/>
      <c r="BO659" s="344"/>
      <c r="BP659" s="344"/>
    </row>
    <row r="660" spans="54:68">
      <c r="BB660" s="794">
        <v>40000</v>
      </c>
      <c r="BC660" s="344" t="str">
        <f t="shared" si="10"/>
        <v>札幌市厚別区</v>
      </c>
      <c r="BD660" s="56" t="s">
        <v>578</v>
      </c>
      <c r="BE660" s="303"/>
      <c r="BF660" s="344"/>
      <c r="BG660" s="344"/>
      <c r="BH660" s="344"/>
      <c r="BI660" s="344"/>
      <c r="BJ660" s="344"/>
      <c r="BK660" s="344"/>
      <c r="BL660" s="344"/>
      <c r="BO660" s="344"/>
      <c r="BP660" s="344"/>
    </row>
    <row r="661" spans="54:68">
      <c r="BB661" s="794">
        <v>40021</v>
      </c>
      <c r="BC661" s="344" t="str">
        <f t="shared" si="10"/>
        <v>札幌市厚別区青葉町</v>
      </c>
      <c r="BD661" s="56" t="s">
        <v>578</v>
      </c>
      <c r="BE661" s="303" t="s">
        <v>1158</v>
      </c>
      <c r="BF661" s="344"/>
      <c r="BG661" s="344"/>
      <c r="BH661" s="344"/>
      <c r="BI661" s="344"/>
      <c r="BJ661" s="344"/>
      <c r="BK661" s="344"/>
      <c r="BL661" s="344"/>
      <c r="BO661" s="344"/>
      <c r="BP661" s="344"/>
    </row>
    <row r="662" spans="54:68">
      <c r="BB662" s="794">
        <v>40071</v>
      </c>
      <c r="BC662" s="344" t="str">
        <f t="shared" si="10"/>
        <v>札幌市厚別区厚別北一条</v>
      </c>
      <c r="BD662" s="56" t="s">
        <v>578</v>
      </c>
      <c r="BE662" s="303" t="s">
        <v>1159</v>
      </c>
      <c r="BF662" s="344"/>
      <c r="BG662" s="344"/>
      <c r="BH662" s="344"/>
      <c r="BI662" s="344"/>
      <c r="BJ662" s="344"/>
      <c r="BK662" s="344"/>
      <c r="BL662" s="344"/>
      <c r="BO662" s="344"/>
      <c r="BP662" s="344"/>
    </row>
    <row r="663" spans="54:68">
      <c r="BB663" s="794">
        <v>40072</v>
      </c>
      <c r="BC663" s="344" t="str">
        <f t="shared" si="10"/>
        <v>札幌市厚別区厚別北二条</v>
      </c>
      <c r="BD663" s="56" t="s">
        <v>578</v>
      </c>
      <c r="BE663" s="303" t="s">
        <v>1160</v>
      </c>
      <c r="BF663" s="344"/>
      <c r="BG663" s="344"/>
      <c r="BH663" s="344"/>
      <c r="BI663" s="344"/>
      <c r="BJ663" s="344"/>
      <c r="BK663" s="344"/>
      <c r="BL663" s="344"/>
      <c r="BO663" s="344"/>
      <c r="BP663" s="344"/>
    </row>
    <row r="664" spans="54:68">
      <c r="BB664" s="794">
        <v>40073</v>
      </c>
      <c r="BC664" s="344" t="str">
        <f t="shared" si="10"/>
        <v>札幌市厚別区厚別北三条</v>
      </c>
      <c r="BD664" s="56" t="s">
        <v>578</v>
      </c>
      <c r="BE664" s="303" t="s">
        <v>1161</v>
      </c>
      <c r="BF664" s="344"/>
      <c r="BG664" s="344"/>
      <c r="BH664" s="344"/>
      <c r="BI664" s="344"/>
      <c r="BJ664" s="344"/>
      <c r="BK664" s="344"/>
      <c r="BL664" s="344"/>
      <c r="BO664" s="344"/>
      <c r="BP664" s="344"/>
    </row>
    <row r="665" spans="54:68">
      <c r="BB665" s="794">
        <v>40074</v>
      </c>
      <c r="BC665" s="344" t="str">
        <f t="shared" si="10"/>
        <v>札幌市厚別区厚別北四条</v>
      </c>
      <c r="BD665" s="56" t="s">
        <v>578</v>
      </c>
      <c r="BE665" s="303" t="s">
        <v>1162</v>
      </c>
      <c r="BF665" s="344"/>
      <c r="BG665" s="344"/>
      <c r="BH665" s="344"/>
      <c r="BI665" s="344"/>
      <c r="BJ665" s="344"/>
      <c r="BK665" s="344"/>
      <c r="BL665" s="344"/>
      <c r="BO665" s="344"/>
      <c r="BP665" s="344"/>
    </row>
    <row r="666" spans="54:68">
      <c r="BB666" s="794">
        <v>40075</v>
      </c>
      <c r="BC666" s="344" t="str">
        <f t="shared" si="10"/>
        <v>札幌市厚別区厚別北五条</v>
      </c>
      <c r="BD666" s="56" t="s">
        <v>578</v>
      </c>
      <c r="BE666" s="303" t="s">
        <v>1163</v>
      </c>
      <c r="BF666" s="344"/>
      <c r="BG666" s="344"/>
      <c r="BH666" s="344"/>
      <c r="BI666" s="344"/>
      <c r="BJ666" s="344"/>
      <c r="BK666" s="344"/>
      <c r="BL666" s="344"/>
      <c r="BO666" s="344"/>
      <c r="BP666" s="344"/>
    </row>
    <row r="667" spans="54:68">
      <c r="BB667" s="794">
        <v>40076</v>
      </c>
      <c r="BC667" s="344" t="str">
        <f t="shared" si="10"/>
        <v>札幌市厚別区厚別北六条</v>
      </c>
      <c r="BD667" s="56" t="s">
        <v>578</v>
      </c>
      <c r="BE667" s="303" t="s">
        <v>1164</v>
      </c>
      <c r="BF667" s="344"/>
      <c r="BG667" s="344"/>
      <c r="BH667" s="344"/>
      <c r="BI667" s="344"/>
      <c r="BJ667" s="344"/>
      <c r="BK667" s="344"/>
      <c r="BL667" s="344"/>
      <c r="BO667" s="344"/>
      <c r="BP667" s="344"/>
    </row>
    <row r="668" spans="54:68">
      <c r="BB668" s="794">
        <v>40051</v>
      </c>
      <c r="BC668" s="344" t="str">
        <f t="shared" si="10"/>
        <v>札幌市厚別区厚別中央一条</v>
      </c>
      <c r="BD668" s="56" t="s">
        <v>578</v>
      </c>
      <c r="BE668" s="303" t="s">
        <v>1165</v>
      </c>
      <c r="BF668" s="344"/>
      <c r="BG668" s="344"/>
      <c r="BH668" s="344"/>
      <c r="BI668" s="344"/>
      <c r="BJ668" s="344"/>
      <c r="BK668" s="344"/>
      <c r="BL668" s="344"/>
      <c r="BO668" s="344"/>
      <c r="BP668" s="344"/>
    </row>
    <row r="669" spans="54:68">
      <c r="BB669" s="794">
        <v>40052</v>
      </c>
      <c r="BC669" s="344" t="str">
        <f t="shared" si="10"/>
        <v>札幌市厚別区厚別中央二条</v>
      </c>
      <c r="BD669" s="56" t="s">
        <v>578</v>
      </c>
      <c r="BE669" s="303" t="s">
        <v>1166</v>
      </c>
      <c r="BF669" s="344"/>
      <c r="BG669" s="344"/>
      <c r="BH669" s="344"/>
      <c r="BI669" s="344"/>
      <c r="BJ669" s="344"/>
      <c r="BK669" s="344"/>
      <c r="BL669" s="344"/>
      <c r="BO669" s="344"/>
      <c r="BP669" s="344"/>
    </row>
    <row r="670" spans="54:68">
      <c r="BB670" s="794">
        <v>40053</v>
      </c>
      <c r="BC670" s="344" t="str">
        <f t="shared" si="10"/>
        <v>札幌市厚別区厚別中央三条</v>
      </c>
      <c r="BD670" s="56" t="s">
        <v>578</v>
      </c>
      <c r="BE670" s="303" t="s">
        <v>1167</v>
      </c>
      <c r="BF670" s="344"/>
      <c r="BG670" s="344"/>
      <c r="BH670" s="344"/>
      <c r="BI670" s="344"/>
      <c r="BJ670" s="344"/>
      <c r="BK670" s="344"/>
      <c r="BL670" s="344"/>
      <c r="BO670" s="344"/>
      <c r="BP670" s="344"/>
    </row>
    <row r="671" spans="54:68">
      <c r="BB671" s="794">
        <v>40054</v>
      </c>
      <c r="BC671" s="344" t="str">
        <f t="shared" si="10"/>
        <v>札幌市厚別区厚別中央四条</v>
      </c>
      <c r="BD671" s="56" t="s">
        <v>578</v>
      </c>
      <c r="BE671" s="303" t="s">
        <v>1168</v>
      </c>
      <c r="BF671" s="344"/>
      <c r="BG671" s="344"/>
      <c r="BH671" s="344"/>
      <c r="BI671" s="344"/>
      <c r="BJ671" s="344"/>
      <c r="BK671" s="344"/>
      <c r="BL671" s="344"/>
      <c r="BO671" s="344"/>
      <c r="BP671" s="344"/>
    </row>
    <row r="672" spans="54:68">
      <c r="BB672" s="794">
        <v>40055</v>
      </c>
      <c r="BC672" s="344" t="str">
        <f t="shared" si="10"/>
        <v>札幌市厚別区厚別中央五条</v>
      </c>
      <c r="BD672" s="56" t="s">
        <v>578</v>
      </c>
      <c r="BE672" s="303" t="s">
        <v>1169</v>
      </c>
      <c r="BF672" s="344"/>
      <c r="BG672" s="344"/>
      <c r="BH672" s="344"/>
      <c r="BI672" s="344"/>
      <c r="BJ672" s="344"/>
      <c r="BK672" s="344"/>
      <c r="BL672" s="344"/>
      <c r="BO672" s="344"/>
      <c r="BP672" s="344"/>
    </row>
    <row r="673" spans="54:68">
      <c r="BB673" s="794">
        <v>40039</v>
      </c>
      <c r="BC673" s="344" t="str">
        <f t="shared" si="10"/>
        <v>札幌市厚別区厚別町上野幌</v>
      </c>
      <c r="BD673" s="56" t="s">
        <v>578</v>
      </c>
      <c r="BE673" s="303" t="s">
        <v>1170</v>
      </c>
      <c r="BF673" s="344"/>
      <c r="BG673" s="344"/>
      <c r="BH673" s="344"/>
      <c r="BI673" s="344"/>
      <c r="BJ673" s="344"/>
      <c r="BK673" s="344"/>
      <c r="BL673" s="344"/>
      <c r="BO673" s="344"/>
      <c r="BP673" s="344"/>
    </row>
    <row r="674" spans="54:68">
      <c r="BB674" s="794">
        <v>40007</v>
      </c>
      <c r="BC674" s="344" t="str">
        <f t="shared" si="10"/>
        <v>札幌市厚別区厚別町下野幌</v>
      </c>
      <c r="BD674" s="56" t="s">
        <v>578</v>
      </c>
      <c r="BE674" s="303" t="s">
        <v>1171</v>
      </c>
      <c r="BF674" s="344"/>
      <c r="BG674" s="344"/>
      <c r="BH674" s="344"/>
      <c r="BI674" s="344"/>
      <c r="BJ674" s="344"/>
      <c r="BK674" s="344"/>
      <c r="BL674" s="344"/>
      <c r="BO674" s="344"/>
      <c r="BP674" s="344"/>
    </row>
    <row r="675" spans="54:68">
      <c r="BB675" s="794">
        <v>40006</v>
      </c>
      <c r="BC675" s="344" t="str">
        <f t="shared" si="10"/>
        <v>札幌市厚別区厚別町小野幌</v>
      </c>
      <c r="BD675" s="56" t="s">
        <v>578</v>
      </c>
      <c r="BE675" s="303" t="s">
        <v>1172</v>
      </c>
      <c r="BF675" s="344"/>
      <c r="BG675" s="344"/>
      <c r="BH675" s="344"/>
      <c r="BI675" s="344"/>
      <c r="BJ675" s="344"/>
      <c r="BK675" s="344"/>
      <c r="BL675" s="344"/>
      <c r="BO675" s="344"/>
      <c r="BP675" s="344"/>
    </row>
    <row r="676" spans="54:68">
      <c r="BB676" s="794">
        <v>40069</v>
      </c>
      <c r="BC676" s="344" t="str">
        <f t="shared" si="10"/>
        <v>札幌市厚別区厚別町山本</v>
      </c>
      <c r="BD676" s="56" t="s">
        <v>578</v>
      </c>
      <c r="BE676" s="303" t="s">
        <v>1173</v>
      </c>
      <c r="BF676" s="344"/>
      <c r="BG676" s="344"/>
      <c r="BH676" s="344"/>
      <c r="BI676" s="344"/>
      <c r="BJ676" s="344"/>
      <c r="BK676" s="344"/>
      <c r="BL676" s="344"/>
      <c r="BO676" s="344"/>
      <c r="BP676" s="344"/>
    </row>
    <row r="677" spans="54:68">
      <c r="BB677" s="794">
        <v>40068</v>
      </c>
      <c r="BC677" s="344" t="str">
        <f t="shared" si="10"/>
        <v>札幌市厚別区厚別西</v>
      </c>
      <c r="BD677" s="56" t="s">
        <v>578</v>
      </c>
      <c r="BE677" s="303" t="s">
        <v>1174</v>
      </c>
      <c r="BF677" s="344"/>
      <c r="BG677" s="344"/>
      <c r="BH677" s="344"/>
      <c r="BI677" s="344"/>
      <c r="BJ677" s="344"/>
      <c r="BK677" s="344"/>
      <c r="BL677" s="344"/>
      <c r="BO677" s="344"/>
      <c r="BP677" s="344"/>
    </row>
    <row r="678" spans="54:68">
      <c r="BB678" s="794">
        <v>40061</v>
      </c>
      <c r="BC678" s="344" t="str">
        <f t="shared" si="10"/>
        <v>札幌市厚別区厚別西一条</v>
      </c>
      <c r="BD678" s="56" t="s">
        <v>578</v>
      </c>
      <c r="BE678" s="303" t="s">
        <v>1175</v>
      </c>
      <c r="BF678" s="344"/>
      <c r="BG678" s="344"/>
      <c r="BH678" s="344"/>
      <c r="BI678" s="344"/>
      <c r="BJ678" s="344"/>
      <c r="BK678" s="344"/>
      <c r="BL678" s="344"/>
      <c r="BO678" s="344"/>
      <c r="BP678" s="344"/>
    </row>
    <row r="679" spans="54:68">
      <c r="BB679" s="794">
        <v>40062</v>
      </c>
      <c r="BC679" s="344" t="str">
        <f t="shared" si="10"/>
        <v>札幌市厚別区厚別西二条</v>
      </c>
      <c r="BD679" s="56" t="s">
        <v>578</v>
      </c>
      <c r="BE679" s="303" t="s">
        <v>1176</v>
      </c>
      <c r="BF679" s="344"/>
      <c r="BG679" s="344"/>
      <c r="BH679" s="344"/>
      <c r="BI679" s="344"/>
      <c r="BJ679" s="344"/>
      <c r="BK679" s="344"/>
      <c r="BL679" s="344"/>
      <c r="BO679" s="344"/>
      <c r="BP679" s="344"/>
    </row>
    <row r="680" spans="54:68">
      <c r="BB680" s="794">
        <v>40063</v>
      </c>
      <c r="BC680" s="344" t="str">
        <f t="shared" si="10"/>
        <v>札幌市厚別区厚別西三条</v>
      </c>
      <c r="BD680" s="56" t="s">
        <v>578</v>
      </c>
      <c r="BE680" s="303" t="s">
        <v>1177</v>
      </c>
      <c r="BF680" s="344"/>
      <c r="BG680" s="344"/>
      <c r="BH680" s="344"/>
      <c r="BI680" s="344"/>
      <c r="BJ680" s="344"/>
      <c r="BK680" s="344"/>
      <c r="BL680" s="344"/>
      <c r="BO680" s="344"/>
      <c r="BP680" s="344"/>
    </row>
    <row r="681" spans="54:68">
      <c r="BB681" s="794">
        <v>40064</v>
      </c>
      <c r="BC681" s="344" t="str">
        <f t="shared" si="10"/>
        <v>札幌市厚別区厚別西四条</v>
      </c>
      <c r="BD681" s="56" t="s">
        <v>578</v>
      </c>
      <c r="BE681" s="303" t="s">
        <v>1178</v>
      </c>
      <c r="BF681" s="344"/>
      <c r="BG681" s="344"/>
      <c r="BH681" s="344"/>
      <c r="BI681" s="344"/>
      <c r="BJ681" s="344"/>
      <c r="BK681" s="344"/>
      <c r="BL681" s="344"/>
      <c r="BO681" s="344"/>
      <c r="BP681" s="344"/>
    </row>
    <row r="682" spans="54:68">
      <c r="BB682" s="794">
        <v>40065</v>
      </c>
      <c r="BC682" s="344" t="str">
        <f t="shared" si="10"/>
        <v>札幌市厚別区厚別西五条</v>
      </c>
      <c r="BD682" s="56" t="s">
        <v>578</v>
      </c>
      <c r="BE682" s="303" t="s">
        <v>1179</v>
      </c>
      <c r="BF682" s="344"/>
      <c r="BG682" s="344"/>
      <c r="BH682" s="344"/>
      <c r="BI682" s="344"/>
      <c r="BJ682" s="344"/>
      <c r="BK682" s="344"/>
      <c r="BL682" s="344"/>
      <c r="BO682" s="344"/>
      <c r="BP682" s="344"/>
    </row>
    <row r="683" spans="54:68">
      <c r="BB683" s="794">
        <v>40001</v>
      </c>
      <c r="BC683" s="344" t="str">
        <f t="shared" si="10"/>
        <v>札幌市厚別区厚別東一条</v>
      </c>
      <c r="BD683" s="56" t="s">
        <v>578</v>
      </c>
      <c r="BE683" s="303" t="s">
        <v>1180</v>
      </c>
      <c r="BF683" s="344"/>
      <c r="BG683" s="344"/>
      <c r="BH683" s="344"/>
      <c r="BI683" s="344"/>
      <c r="BJ683" s="344"/>
      <c r="BK683" s="344"/>
      <c r="BL683" s="344"/>
      <c r="BO683" s="344"/>
      <c r="BP683" s="344"/>
    </row>
    <row r="684" spans="54:68">
      <c r="BB684" s="794">
        <v>40002</v>
      </c>
      <c r="BC684" s="344" t="str">
        <f t="shared" si="10"/>
        <v>札幌市厚別区厚別東二条</v>
      </c>
      <c r="BD684" s="56" t="s">
        <v>578</v>
      </c>
      <c r="BE684" s="303" t="s">
        <v>1181</v>
      </c>
      <c r="BF684" s="344"/>
      <c r="BG684" s="344"/>
      <c r="BH684" s="344"/>
      <c r="BI684" s="344"/>
      <c r="BJ684" s="344"/>
      <c r="BK684" s="344"/>
      <c r="BL684" s="344"/>
      <c r="BO684" s="344"/>
      <c r="BP684" s="344"/>
    </row>
    <row r="685" spans="54:68">
      <c r="BB685" s="794">
        <v>40003</v>
      </c>
      <c r="BC685" s="344" t="str">
        <f t="shared" si="10"/>
        <v>札幌市厚別区厚別東三条</v>
      </c>
      <c r="BD685" s="56" t="s">
        <v>578</v>
      </c>
      <c r="BE685" s="303" t="s">
        <v>1182</v>
      </c>
      <c r="BF685" s="344"/>
      <c r="BG685" s="344"/>
      <c r="BH685" s="344"/>
      <c r="BI685" s="344"/>
      <c r="BJ685" s="344"/>
      <c r="BK685" s="344"/>
      <c r="BL685" s="344"/>
      <c r="BO685" s="344"/>
      <c r="BP685" s="344"/>
    </row>
    <row r="686" spans="54:68">
      <c r="BB686" s="794">
        <v>40004</v>
      </c>
      <c r="BC686" s="344" t="str">
        <f t="shared" si="10"/>
        <v>札幌市厚別区厚別東四条</v>
      </c>
      <c r="BD686" s="56" t="s">
        <v>578</v>
      </c>
      <c r="BE686" s="303" t="s">
        <v>1183</v>
      </c>
      <c r="BF686" s="344"/>
      <c r="BG686" s="344"/>
      <c r="BH686" s="344"/>
      <c r="BI686" s="344"/>
      <c r="BJ686" s="344"/>
      <c r="BK686" s="344"/>
      <c r="BL686" s="344"/>
      <c r="BO686" s="344"/>
      <c r="BP686" s="344"/>
    </row>
    <row r="687" spans="54:68">
      <c r="BB687" s="794">
        <v>40005</v>
      </c>
      <c r="BC687" s="344" t="str">
        <f t="shared" si="10"/>
        <v>札幌市厚別区厚別東五条</v>
      </c>
      <c r="BD687" s="56" t="s">
        <v>578</v>
      </c>
      <c r="BE687" s="303" t="s">
        <v>1184</v>
      </c>
      <c r="BF687" s="344"/>
      <c r="BG687" s="344"/>
      <c r="BH687" s="344"/>
      <c r="BI687" s="344"/>
      <c r="BJ687" s="344"/>
      <c r="BK687" s="344"/>
      <c r="BL687" s="344"/>
      <c r="BO687" s="344"/>
      <c r="BP687" s="344"/>
    </row>
    <row r="688" spans="54:68">
      <c r="BB688" s="794">
        <v>40022</v>
      </c>
      <c r="BC688" s="344" t="str">
        <f t="shared" si="10"/>
        <v>札幌市厚別区厚別南</v>
      </c>
      <c r="BD688" s="56" t="s">
        <v>578</v>
      </c>
      <c r="BE688" s="303" t="s">
        <v>1185</v>
      </c>
      <c r="BF688" s="344"/>
      <c r="BG688" s="344"/>
      <c r="BH688" s="344"/>
      <c r="BI688" s="344"/>
      <c r="BJ688" s="344"/>
      <c r="BK688" s="344"/>
      <c r="BL688" s="344"/>
      <c r="BO688" s="344"/>
      <c r="BP688" s="344"/>
    </row>
    <row r="689" spans="54:68">
      <c r="BB689" s="794">
        <v>40041</v>
      </c>
      <c r="BC689" s="344" t="str">
        <f t="shared" si="10"/>
        <v>札幌市厚別区大谷地東</v>
      </c>
      <c r="BD689" s="56" t="s">
        <v>578</v>
      </c>
      <c r="BE689" s="303" t="s">
        <v>1186</v>
      </c>
      <c r="BF689" s="344"/>
      <c r="BG689" s="344"/>
      <c r="BH689" s="344"/>
      <c r="BI689" s="344"/>
      <c r="BJ689" s="344"/>
      <c r="BK689" s="344"/>
      <c r="BL689" s="344"/>
      <c r="BO689" s="344"/>
      <c r="BP689" s="344"/>
    </row>
    <row r="690" spans="54:68">
      <c r="BB690" s="794">
        <v>40042</v>
      </c>
      <c r="BC690" s="344" t="str">
        <f t="shared" si="10"/>
        <v>札幌市厚別区大谷地西</v>
      </c>
      <c r="BD690" s="56" t="s">
        <v>578</v>
      </c>
      <c r="BE690" s="303" t="s">
        <v>1187</v>
      </c>
      <c r="BF690" s="344"/>
      <c r="BG690" s="344"/>
      <c r="BH690" s="344"/>
      <c r="BI690" s="344"/>
      <c r="BJ690" s="344"/>
      <c r="BK690" s="344"/>
      <c r="BL690" s="344"/>
      <c r="BO690" s="344"/>
      <c r="BP690" s="344"/>
    </row>
    <row r="691" spans="54:68">
      <c r="BB691" s="794">
        <v>40031</v>
      </c>
      <c r="BC691" s="344" t="str">
        <f t="shared" si="10"/>
        <v>札幌市厚別区上野幌一条</v>
      </c>
      <c r="BD691" s="56" t="s">
        <v>578</v>
      </c>
      <c r="BE691" s="303" t="s">
        <v>1188</v>
      </c>
      <c r="BF691" s="344"/>
      <c r="BG691" s="344"/>
      <c r="BH691" s="344"/>
      <c r="BI691" s="344"/>
      <c r="BJ691" s="344"/>
      <c r="BK691" s="344"/>
      <c r="BL691" s="344"/>
      <c r="BO691" s="344"/>
      <c r="BP691" s="344"/>
    </row>
    <row r="692" spans="54:68">
      <c r="BB692" s="794">
        <v>40032</v>
      </c>
      <c r="BC692" s="344" t="str">
        <f t="shared" si="10"/>
        <v>札幌市厚別区上野幌二条</v>
      </c>
      <c r="BD692" s="56" t="s">
        <v>578</v>
      </c>
      <c r="BE692" s="303" t="s">
        <v>1189</v>
      </c>
      <c r="BF692" s="344"/>
      <c r="BG692" s="344"/>
      <c r="BH692" s="344"/>
      <c r="BI692" s="344"/>
      <c r="BJ692" s="344"/>
      <c r="BK692" s="344"/>
      <c r="BL692" s="344"/>
      <c r="BO692" s="344"/>
      <c r="BP692" s="344"/>
    </row>
    <row r="693" spans="54:68">
      <c r="BB693" s="794">
        <v>40033</v>
      </c>
      <c r="BC693" s="344" t="str">
        <f t="shared" si="10"/>
        <v>札幌市厚別区上野幌三条</v>
      </c>
      <c r="BD693" s="56" t="s">
        <v>578</v>
      </c>
      <c r="BE693" s="303" t="s">
        <v>1190</v>
      </c>
      <c r="BF693" s="344"/>
      <c r="BG693" s="344"/>
      <c r="BH693" s="344"/>
      <c r="BI693" s="344"/>
      <c r="BJ693" s="344"/>
      <c r="BK693" s="344"/>
      <c r="BL693" s="344"/>
      <c r="BO693" s="344"/>
      <c r="BP693" s="344"/>
    </row>
    <row r="694" spans="54:68">
      <c r="BB694" s="794">
        <v>40015</v>
      </c>
      <c r="BC694" s="344" t="str">
        <f t="shared" si="10"/>
        <v>札幌市厚別区下野幌テクノパーク</v>
      </c>
      <c r="BD694" s="56" t="s">
        <v>578</v>
      </c>
      <c r="BE694" s="303" t="s">
        <v>1191</v>
      </c>
      <c r="BF694" s="344"/>
      <c r="BG694" s="344"/>
      <c r="BH694" s="344"/>
      <c r="BI694" s="344"/>
      <c r="BJ694" s="344"/>
      <c r="BK694" s="344"/>
      <c r="BL694" s="344"/>
      <c r="BO694" s="344"/>
      <c r="BP694" s="344"/>
    </row>
    <row r="695" spans="54:68">
      <c r="BB695" s="794">
        <v>40011</v>
      </c>
      <c r="BC695" s="344" t="str">
        <f t="shared" si="10"/>
        <v>札幌市厚別区もみじ台東</v>
      </c>
      <c r="BD695" s="56" t="s">
        <v>578</v>
      </c>
      <c r="BE695" s="303" t="s">
        <v>1192</v>
      </c>
      <c r="BF695" s="344"/>
      <c r="BG695" s="344"/>
      <c r="BH695" s="344"/>
      <c r="BI695" s="344"/>
      <c r="BJ695" s="344"/>
      <c r="BK695" s="344"/>
      <c r="BL695" s="344"/>
      <c r="BO695" s="344"/>
      <c r="BP695" s="344"/>
    </row>
    <row r="696" spans="54:68">
      <c r="BB696" s="794">
        <v>40013</v>
      </c>
      <c r="BC696" s="344" t="str">
        <f t="shared" si="10"/>
        <v>札幌市厚別区もみじ台西</v>
      </c>
      <c r="BD696" s="56" t="s">
        <v>578</v>
      </c>
      <c r="BE696" s="303" t="s">
        <v>1193</v>
      </c>
      <c r="BF696" s="344"/>
      <c r="BG696" s="344"/>
      <c r="BH696" s="344"/>
      <c r="BI696" s="344"/>
      <c r="BJ696" s="344"/>
      <c r="BK696" s="344"/>
      <c r="BL696" s="344"/>
      <c r="BO696" s="344"/>
      <c r="BP696" s="344"/>
    </row>
    <row r="697" spans="54:68">
      <c r="BB697" s="794">
        <v>40012</v>
      </c>
      <c r="BC697" s="344" t="str">
        <f t="shared" si="10"/>
        <v>札幌市厚別区もみじ台南</v>
      </c>
      <c r="BD697" s="56" t="s">
        <v>578</v>
      </c>
      <c r="BE697" s="303" t="s">
        <v>1194</v>
      </c>
      <c r="BF697" s="344"/>
      <c r="BG697" s="344"/>
      <c r="BH697" s="344"/>
      <c r="BI697" s="344"/>
      <c r="BJ697" s="344"/>
      <c r="BK697" s="344"/>
      <c r="BL697" s="344"/>
      <c r="BO697" s="344"/>
      <c r="BP697" s="344"/>
    </row>
    <row r="698" spans="54:68">
      <c r="BB698" s="794">
        <v>40014</v>
      </c>
      <c r="BC698" s="344" t="str">
        <f t="shared" si="10"/>
        <v>札幌市厚別区もみじ台北</v>
      </c>
      <c r="BD698" s="56" t="s">
        <v>578</v>
      </c>
      <c r="BE698" s="303" t="s">
        <v>1195</v>
      </c>
      <c r="BF698" s="344"/>
      <c r="BG698" s="344"/>
      <c r="BH698" s="344"/>
      <c r="BI698" s="344"/>
      <c r="BJ698" s="344"/>
      <c r="BK698" s="344"/>
      <c r="BL698" s="344"/>
      <c r="BO698" s="344"/>
      <c r="BP698" s="344"/>
    </row>
    <row r="699" spans="54:68">
      <c r="BB699" s="794">
        <v>60000</v>
      </c>
      <c r="BC699" s="344" t="str">
        <f t="shared" si="10"/>
        <v>札幌市手稲区</v>
      </c>
      <c r="BD699" s="56" t="s">
        <v>579</v>
      </c>
      <c r="BE699" s="303"/>
      <c r="BF699" s="344"/>
      <c r="BG699" s="344"/>
      <c r="BH699" s="344"/>
      <c r="BI699" s="344"/>
      <c r="BJ699" s="344"/>
      <c r="BK699" s="344"/>
      <c r="BL699" s="344"/>
      <c r="BO699" s="344"/>
      <c r="BP699" s="344"/>
    </row>
    <row r="700" spans="54:68">
      <c r="BB700" s="794">
        <v>60831</v>
      </c>
      <c r="BC700" s="344" t="str">
        <f t="shared" si="10"/>
        <v>札幌市手稲区曙一条</v>
      </c>
      <c r="BD700" s="56" t="s">
        <v>579</v>
      </c>
      <c r="BE700" s="303" t="s">
        <v>1196</v>
      </c>
      <c r="BF700" s="344"/>
      <c r="BG700" s="344"/>
      <c r="BH700" s="344"/>
      <c r="BI700" s="344"/>
      <c r="BJ700" s="344"/>
      <c r="BK700" s="344"/>
      <c r="BL700" s="344"/>
      <c r="BO700" s="344"/>
      <c r="BP700" s="344"/>
    </row>
    <row r="701" spans="54:68">
      <c r="BB701" s="794">
        <v>60832</v>
      </c>
      <c r="BC701" s="344" t="str">
        <f t="shared" si="10"/>
        <v>札幌市手稲区曙二条</v>
      </c>
      <c r="BD701" s="56" t="s">
        <v>579</v>
      </c>
      <c r="BE701" s="303" t="s">
        <v>1197</v>
      </c>
      <c r="BF701" s="344"/>
      <c r="BG701" s="344"/>
      <c r="BH701" s="344"/>
      <c r="BI701" s="344"/>
      <c r="BJ701" s="344"/>
      <c r="BK701" s="344"/>
      <c r="BL701" s="344"/>
      <c r="BO701" s="344"/>
      <c r="BP701" s="344"/>
    </row>
    <row r="702" spans="54:68">
      <c r="BB702" s="794">
        <v>60833</v>
      </c>
      <c r="BC702" s="344" t="str">
        <f t="shared" si="10"/>
        <v>札幌市手稲区曙三条</v>
      </c>
      <c r="BD702" s="56" t="s">
        <v>579</v>
      </c>
      <c r="BE702" s="303" t="s">
        <v>1198</v>
      </c>
      <c r="BF702" s="344"/>
      <c r="BG702" s="344"/>
      <c r="BH702" s="344"/>
      <c r="BI702" s="344"/>
      <c r="BJ702" s="344"/>
      <c r="BK702" s="344"/>
      <c r="BL702" s="344"/>
      <c r="BO702" s="344"/>
      <c r="BP702" s="344"/>
    </row>
    <row r="703" spans="54:68">
      <c r="BB703" s="794">
        <v>60834</v>
      </c>
      <c r="BC703" s="344" t="str">
        <f t="shared" ref="BC703:BC766" si="11">BD703&amp;BE703</f>
        <v>札幌市手稲区曙四条</v>
      </c>
      <c r="BD703" s="56" t="s">
        <v>579</v>
      </c>
      <c r="BE703" s="303" t="s">
        <v>1199</v>
      </c>
      <c r="BF703" s="344"/>
      <c r="BG703" s="344"/>
      <c r="BH703" s="344"/>
      <c r="BI703" s="344"/>
      <c r="BJ703" s="344"/>
      <c r="BK703" s="344"/>
      <c r="BL703" s="344"/>
      <c r="BO703" s="344"/>
      <c r="BP703" s="344"/>
    </row>
    <row r="704" spans="54:68">
      <c r="BB704" s="794">
        <v>60835</v>
      </c>
      <c r="BC704" s="344" t="str">
        <f t="shared" si="11"/>
        <v>札幌市手稲区曙五条</v>
      </c>
      <c r="BD704" s="56" t="s">
        <v>579</v>
      </c>
      <c r="BE704" s="303" t="s">
        <v>1200</v>
      </c>
      <c r="BF704" s="344"/>
      <c r="BG704" s="344"/>
      <c r="BH704" s="344"/>
      <c r="BI704" s="344"/>
      <c r="BJ704" s="344"/>
      <c r="BK704" s="344"/>
      <c r="BL704" s="344"/>
      <c r="BO704" s="344"/>
      <c r="BP704" s="344"/>
    </row>
    <row r="705" spans="54:68">
      <c r="BB705" s="794">
        <v>60836</v>
      </c>
      <c r="BC705" s="344" t="str">
        <f t="shared" si="11"/>
        <v>札幌市手稲区曙六条</v>
      </c>
      <c r="BD705" s="56" t="s">
        <v>579</v>
      </c>
      <c r="BE705" s="303" t="s">
        <v>1201</v>
      </c>
      <c r="BF705" s="344"/>
      <c r="BG705" s="344"/>
      <c r="BH705" s="344"/>
      <c r="BI705" s="344"/>
      <c r="BJ705" s="344"/>
      <c r="BK705" s="344"/>
      <c r="BL705" s="344"/>
      <c r="BO705" s="344"/>
      <c r="BP705" s="344"/>
    </row>
    <row r="706" spans="54:68">
      <c r="BB706" s="794">
        <v>60837</v>
      </c>
      <c r="BC706" s="344" t="str">
        <f t="shared" si="11"/>
        <v>札幌市手稲区曙七条</v>
      </c>
      <c r="BD706" s="56" t="s">
        <v>579</v>
      </c>
      <c r="BE706" s="303" t="s">
        <v>1202</v>
      </c>
      <c r="BF706" s="344"/>
      <c r="BG706" s="344"/>
      <c r="BH706" s="344"/>
      <c r="BI706" s="344"/>
      <c r="BJ706" s="344"/>
      <c r="BK706" s="344"/>
      <c r="BL706" s="344"/>
      <c r="BO706" s="344"/>
      <c r="BP706" s="344"/>
    </row>
    <row r="707" spans="54:68">
      <c r="BB707" s="794">
        <v>60838</v>
      </c>
      <c r="BC707" s="344" t="str">
        <f t="shared" si="11"/>
        <v>札幌市手稲区曙八条</v>
      </c>
      <c r="BD707" s="56" t="s">
        <v>579</v>
      </c>
      <c r="BE707" s="303" t="s">
        <v>1203</v>
      </c>
      <c r="BF707" s="344"/>
      <c r="BG707" s="344"/>
      <c r="BH707" s="344"/>
      <c r="BI707" s="344"/>
      <c r="BJ707" s="344"/>
      <c r="BK707" s="344"/>
      <c r="BL707" s="344"/>
      <c r="BO707" s="344"/>
      <c r="BP707" s="344"/>
    </row>
    <row r="708" spans="54:68">
      <c r="BB708" s="794">
        <v>60839</v>
      </c>
      <c r="BC708" s="344" t="str">
        <f t="shared" si="11"/>
        <v>札幌市手稲区曙九条</v>
      </c>
      <c r="BD708" s="56" t="s">
        <v>579</v>
      </c>
      <c r="BE708" s="303" t="s">
        <v>1204</v>
      </c>
      <c r="BF708" s="344"/>
      <c r="BG708" s="344"/>
      <c r="BH708" s="344"/>
      <c r="BI708" s="344"/>
      <c r="BJ708" s="344"/>
      <c r="BK708" s="344"/>
      <c r="BL708" s="344"/>
      <c r="BO708" s="344"/>
      <c r="BP708" s="344"/>
    </row>
    <row r="709" spans="54:68">
      <c r="BB709" s="794">
        <v>60840</v>
      </c>
      <c r="BC709" s="344" t="str">
        <f t="shared" si="11"/>
        <v>札幌市手稲区曙十条</v>
      </c>
      <c r="BD709" s="56" t="s">
        <v>579</v>
      </c>
      <c r="BE709" s="303" t="s">
        <v>1205</v>
      </c>
      <c r="BF709" s="344"/>
      <c r="BG709" s="344"/>
      <c r="BH709" s="344"/>
      <c r="BI709" s="344"/>
      <c r="BJ709" s="344"/>
      <c r="BK709" s="344"/>
      <c r="BL709" s="344"/>
      <c r="BO709" s="344"/>
      <c r="BP709" s="344"/>
    </row>
    <row r="710" spans="54:68">
      <c r="BB710" s="794">
        <v>60841</v>
      </c>
      <c r="BC710" s="344" t="str">
        <f t="shared" si="11"/>
        <v>札幌市手稲区曙十一条</v>
      </c>
      <c r="BD710" s="56" t="s">
        <v>579</v>
      </c>
      <c r="BE710" s="303" t="s">
        <v>1206</v>
      </c>
      <c r="BF710" s="344"/>
      <c r="BG710" s="344"/>
      <c r="BH710" s="344"/>
      <c r="BI710" s="344"/>
      <c r="BJ710" s="344"/>
      <c r="BK710" s="344"/>
      <c r="BL710" s="344"/>
      <c r="BO710" s="344"/>
      <c r="BP710" s="344"/>
    </row>
    <row r="711" spans="54:68">
      <c r="BB711" s="794">
        <v>60842</v>
      </c>
      <c r="BC711" s="344" t="str">
        <f t="shared" si="11"/>
        <v>札幌市手稲区曙十二条</v>
      </c>
      <c r="BD711" s="56" t="s">
        <v>579</v>
      </c>
      <c r="BE711" s="303" t="s">
        <v>1207</v>
      </c>
      <c r="BF711" s="344"/>
      <c r="BG711" s="344"/>
      <c r="BH711" s="344"/>
      <c r="BI711" s="344"/>
      <c r="BJ711" s="344"/>
      <c r="BK711" s="344"/>
      <c r="BL711" s="344"/>
      <c r="BO711" s="344"/>
      <c r="BP711" s="344"/>
    </row>
    <row r="712" spans="54:68">
      <c r="BB712" s="794">
        <v>60861</v>
      </c>
      <c r="BC712" s="344" t="str">
        <f t="shared" si="11"/>
        <v>札幌市手稲区明日風</v>
      </c>
      <c r="BD712" s="56" t="s">
        <v>579</v>
      </c>
      <c r="BE712" s="303" t="s">
        <v>1208</v>
      </c>
      <c r="BF712" s="344"/>
      <c r="BG712" s="344"/>
      <c r="BH712" s="344"/>
      <c r="BI712" s="344"/>
      <c r="BJ712" s="344"/>
      <c r="BK712" s="344"/>
      <c r="BL712" s="344"/>
      <c r="BO712" s="344"/>
      <c r="BP712" s="344"/>
    </row>
    <row r="713" spans="54:68">
      <c r="BB713" s="794">
        <v>60031</v>
      </c>
      <c r="BC713" s="344" t="str">
        <f t="shared" si="11"/>
        <v>札幌市手稲区稲穂一条</v>
      </c>
      <c r="BD713" s="56" t="s">
        <v>579</v>
      </c>
      <c r="BE713" s="303" t="s">
        <v>1209</v>
      </c>
      <c r="BF713" s="344"/>
      <c r="BG713" s="344"/>
      <c r="BH713" s="344"/>
      <c r="BI713" s="344"/>
      <c r="BJ713" s="344"/>
      <c r="BK713" s="344"/>
      <c r="BL713" s="344"/>
      <c r="BO713" s="344"/>
      <c r="BP713" s="344"/>
    </row>
    <row r="714" spans="54:68">
      <c r="BB714" s="794">
        <v>60032</v>
      </c>
      <c r="BC714" s="344" t="str">
        <f t="shared" si="11"/>
        <v>札幌市手稲区稲穂二条</v>
      </c>
      <c r="BD714" s="56" t="s">
        <v>579</v>
      </c>
      <c r="BE714" s="303" t="s">
        <v>1210</v>
      </c>
      <c r="BF714" s="344"/>
      <c r="BG714" s="344"/>
      <c r="BH714" s="344"/>
      <c r="BI714" s="344"/>
      <c r="BJ714" s="344"/>
      <c r="BK714" s="344"/>
      <c r="BL714" s="344"/>
      <c r="BO714" s="344"/>
      <c r="BP714" s="344"/>
    </row>
    <row r="715" spans="54:68">
      <c r="BB715" s="794">
        <v>60033</v>
      </c>
      <c r="BC715" s="344" t="str">
        <f t="shared" si="11"/>
        <v>札幌市手稲区稲穂三条</v>
      </c>
      <c r="BD715" s="56" t="s">
        <v>579</v>
      </c>
      <c r="BE715" s="303" t="s">
        <v>1211</v>
      </c>
      <c r="BF715" s="344"/>
      <c r="BG715" s="344"/>
      <c r="BH715" s="344"/>
      <c r="BI715" s="344"/>
      <c r="BJ715" s="344"/>
      <c r="BK715" s="344"/>
      <c r="BL715" s="344"/>
      <c r="BO715" s="344"/>
      <c r="BP715" s="344"/>
    </row>
    <row r="716" spans="54:68">
      <c r="BB716" s="794">
        <v>60034</v>
      </c>
      <c r="BC716" s="344" t="str">
        <f t="shared" si="11"/>
        <v>札幌市手稲区稲穂四条</v>
      </c>
      <c r="BD716" s="56" t="s">
        <v>579</v>
      </c>
      <c r="BE716" s="303" t="s">
        <v>1212</v>
      </c>
      <c r="BF716" s="344"/>
      <c r="BG716" s="344"/>
      <c r="BH716" s="344"/>
      <c r="BI716" s="344"/>
      <c r="BJ716" s="344"/>
      <c r="BK716" s="344"/>
      <c r="BL716" s="344"/>
      <c r="BO716" s="344"/>
      <c r="BP716" s="344"/>
    </row>
    <row r="717" spans="54:68">
      <c r="BB717" s="794">
        <v>60035</v>
      </c>
      <c r="BC717" s="344" t="str">
        <f t="shared" si="11"/>
        <v>札幌市手稲区稲穂五条</v>
      </c>
      <c r="BD717" s="56" t="s">
        <v>579</v>
      </c>
      <c r="BE717" s="303" t="s">
        <v>1213</v>
      </c>
      <c r="BF717" s="344"/>
      <c r="BG717" s="344"/>
      <c r="BH717" s="344"/>
      <c r="BI717" s="344"/>
      <c r="BJ717" s="344"/>
      <c r="BK717" s="344"/>
      <c r="BL717" s="344"/>
      <c r="BO717" s="344"/>
      <c r="BP717" s="344"/>
    </row>
    <row r="718" spans="54:68">
      <c r="BB718" s="794">
        <v>60041</v>
      </c>
      <c r="BC718" s="344" t="str">
        <f t="shared" si="11"/>
        <v>札幌市手稲区金山一条</v>
      </c>
      <c r="BD718" s="56" t="s">
        <v>579</v>
      </c>
      <c r="BE718" s="303" t="s">
        <v>1214</v>
      </c>
      <c r="BF718" s="344"/>
      <c r="BG718" s="344"/>
      <c r="BH718" s="344"/>
      <c r="BI718" s="344"/>
      <c r="BJ718" s="344"/>
      <c r="BK718" s="344"/>
      <c r="BL718" s="344"/>
      <c r="BO718" s="344"/>
      <c r="BP718" s="344"/>
    </row>
    <row r="719" spans="54:68">
      <c r="BB719" s="794">
        <v>60042</v>
      </c>
      <c r="BC719" s="344" t="str">
        <f t="shared" si="11"/>
        <v>札幌市手稲区金山二条</v>
      </c>
      <c r="BD719" s="56" t="s">
        <v>579</v>
      </c>
      <c r="BE719" s="303" t="s">
        <v>1215</v>
      </c>
      <c r="BF719" s="344"/>
      <c r="BG719" s="344"/>
      <c r="BH719" s="344"/>
      <c r="BI719" s="344"/>
      <c r="BJ719" s="344"/>
      <c r="BK719" s="344"/>
      <c r="BL719" s="344"/>
      <c r="BO719" s="344"/>
      <c r="BP719" s="344"/>
    </row>
    <row r="720" spans="54:68">
      <c r="BB720" s="794">
        <v>60043</v>
      </c>
      <c r="BC720" s="344" t="str">
        <f t="shared" si="11"/>
        <v>札幌市手稲区金山三条</v>
      </c>
      <c r="BD720" s="56" t="s">
        <v>579</v>
      </c>
      <c r="BE720" s="303" t="s">
        <v>1216</v>
      </c>
      <c r="BF720" s="344"/>
      <c r="BG720" s="344"/>
      <c r="BH720" s="344"/>
      <c r="BI720" s="344"/>
      <c r="BJ720" s="344"/>
      <c r="BK720" s="344"/>
      <c r="BL720" s="344"/>
      <c r="BO720" s="344"/>
      <c r="BP720" s="344"/>
    </row>
    <row r="721" spans="54:68">
      <c r="BB721" s="794">
        <v>60801</v>
      </c>
      <c r="BC721" s="344" t="str">
        <f t="shared" si="11"/>
        <v>札幌市手稲区新発寒一条</v>
      </c>
      <c r="BD721" s="56" t="s">
        <v>579</v>
      </c>
      <c r="BE721" s="303" t="s">
        <v>1217</v>
      </c>
      <c r="BF721" s="344"/>
      <c r="BG721" s="344"/>
      <c r="BH721" s="344"/>
      <c r="BI721" s="344"/>
      <c r="BJ721" s="344"/>
      <c r="BK721" s="344"/>
      <c r="BL721" s="344"/>
      <c r="BO721" s="344"/>
      <c r="BP721" s="344"/>
    </row>
    <row r="722" spans="54:68">
      <c r="BB722" s="794">
        <v>60802</v>
      </c>
      <c r="BC722" s="344" t="str">
        <f t="shared" si="11"/>
        <v>札幌市手稲区新発寒二条</v>
      </c>
      <c r="BD722" s="56" t="s">
        <v>579</v>
      </c>
      <c r="BE722" s="303" t="s">
        <v>1218</v>
      </c>
      <c r="BF722" s="344"/>
      <c r="BG722" s="344"/>
      <c r="BH722" s="344"/>
      <c r="BI722" s="344"/>
      <c r="BJ722" s="344"/>
      <c r="BK722" s="344"/>
      <c r="BL722" s="344"/>
      <c r="BO722" s="344"/>
      <c r="BP722" s="344"/>
    </row>
    <row r="723" spans="54:68">
      <c r="BB723" s="794">
        <v>60803</v>
      </c>
      <c r="BC723" s="344" t="str">
        <f t="shared" si="11"/>
        <v>札幌市手稲区新発寒三条</v>
      </c>
      <c r="BD723" s="56" t="s">
        <v>579</v>
      </c>
      <c r="BE723" s="303" t="s">
        <v>1219</v>
      </c>
      <c r="BF723" s="344"/>
      <c r="BG723" s="344"/>
      <c r="BH723" s="344"/>
      <c r="BI723" s="344"/>
      <c r="BJ723" s="344"/>
      <c r="BK723" s="344"/>
      <c r="BL723" s="344"/>
      <c r="BO723" s="344"/>
      <c r="BP723" s="344"/>
    </row>
    <row r="724" spans="54:68">
      <c r="BB724" s="794">
        <v>60804</v>
      </c>
      <c r="BC724" s="344" t="str">
        <f t="shared" si="11"/>
        <v>札幌市手稲区新発寒四条</v>
      </c>
      <c r="BD724" s="56" t="s">
        <v>579</v>
      </c>
      <c r="BE724" s="303" t="s">
        <v>1220</v>
      </c>
      <c r="BF724" s="344"/>
      <c r="BG724" s="344"/>
      <c r="BH724" s="344"/>
      <c r="BI724" s="344"/>
      <c r="BJ724" s="344"/>
      <c r="BK724" s="344"/>
      <c r="BL724" s="344"/>
      <c r="BO724" s="344"/>
      <c r="BP724" s="344"/>
    </row>
    <row r="725" spans="54:68">
      <c r="BB725" s="794">
        <v>60805</v>
      </c>
      <c r="BC725" s="344" t="str">
        <f t="shared" si="11"/>
        <v>札幌市手稲区新発寒五条</v>
      </c>
      <c r="BD725" s="56" t="s">
        <v>579</v>
      </c>
      <c r="BE725" s="303" t="s">
        <v>1221</v>
      </c>
      <c r="BF725" s="344"/>
      <c r="BG725" s="344"/>
      <c r="BH725" s="344"/>
      <c r="BI725" s="344"/>
      <c r="BJ725" s="344"/>
      <c r="BK725" s="344"/>
      <c r="BL725" s="344"/>
      <c r="BO725" s="344"/>
      <c r="BP725" s="344"/>
    </row>
    <row r="726" spans="54:68">
      <c r="BB726" s="794">
        <v>60806</v>
      </c>
      <c r="BC726" s="344" t="str">
        <f t="shared" si="11"/>
        <v>札幌市手稲区新発寒六条</v>
      </c>
      <c r="BD726" s="56" t="s">
        <v>579</v>
      </c>
      <c r="BE726" s="303" t="s">
        <v>1222</v>
      </c>
      <c r="BF726" s="344"/>
      <c r="BG726" s="344"/>
      <c r="BH726" s="344"/>
      <c r="BI726" s="344"/>
      <c r="BJ726" s="344"/>
      <c r="BK726" s="344"/>
      <c r="BL726" s="344"/>
      <c r="BO726" s="344"/>
      <c r="BP726" s="344"/>
    </row>
    <row r="727" spans="54:68">
      <c r="BB727" s="794">
        <v>60807</v>
      </c>
      <c r="BC727" s="344" t="str">
        <f t="shared" si="11"/>
        <v>札幌市手稲区新発寒七条</v>
      </c>
      <c r="BD727" s="56" t="s">
        <v>579</v>
      </c>
      <c r="BE727" s="303" t="s">
        <v>1223</v>
      </c>
      <c r="BF727" s="344"/>
      <c r="BG727" s="344"/>
      <c r="BH727" s="344"/>
      <c r="BI727" s="344"/>
      <c r="BJ727" s="344"/>
      <c r="BK727" s="344"/>
      <c r="BL727" s="344"/>
      <c r="BO727" s="344"/>
      <c r="BP727" s="344"/>
    </row>
    <row r="728" spans="54:68">
      <c r="BB728" s="794">
        <v>60039</v>
      </c>
      <c r="BC728" s="344" t="str">
        <f t="shared" si="11"/>
        <v>札幌市手稲区手稲稲穂</v>
      </c>
      <c r="BD728" s="56" t="s">
        <v>579</v>
      </c>
      <c r="BE728" s="303" t="s">
        <v>1224</v>
      </c>
      <c r="BF728" s="344"/>
      <c r="BG728" s="344"/>
      <c r="BH728" s="344"/>
      <c r="BI728" s="344"/>
      <c r="BJ728" s="344"/>
      <c r="BK728" s="344"/>
      <c r="BL728" s="344"/>
      <c r="BO728" s="344"/>
      <c r="BP728" s="344"/>
    </row>
    <row r="729" spans="54:68">
      <c r="BB729" s="794">
        <v>60049</v>
      </c>
      <c r="BC729" s="344" t="str">
        <f t="shared" si="11"/>
        <v>札幌市手稲区手稲金山</v>
      </c>
      <c r="BD729" s="56" t="s">
        <v>579</v>
      </c>
      <c r="BE729" s="303" t="s">
        <v>1225</v>
      </c>
      <c r="BF729" s="344"/>
      <c r="BG729" s="344"/>
      <c r="BH729" s="344"/>
      <c r="BI729" s="344"/>
      <c r="BJ729" s="344"/>
      <c r="BK729" s="344"/>
      <c r="BL729" s="344"/>
      <c r="BO729" s="344"/>
      <c r="BP729" s="344"/>
    </row>
    <row r="730" spans="54:68">
      <c r="BB730" s="794">
        <v>60019</v>
      </c>
      <c r="BC730" s="344" t="str">
        <f t="shared" si="11"/>
        <v>札幌市手稲区手稲富丘</v>
      </c>
      <c r="BD730" s="56" t="s">
        <v>579</v>
      </c>
      <c r="BE730" s="303" t="s">
        <v>1226</v>
      </c>
      <c r="BF730" s="344"/>
      <c r="BG730" s="344"/>
      <c r="BH730" s="344"/>
      <c r="BI730" s="344"/>
      <c r="BJ730" s="344"/>
      <c r="BK730" s="344"/>
      <c r="BL730" s="344"/>
      <c r="BO730" s="344"/>
      <c r="BP730" s="344"/>
    </row>
    <row r="731" spans="54:68">
      <c r="BB731" s="794">
        <v>60859</v>
      </c>
      <c r="BC731" s="344" t="str">
        <f t="shared" si="11"/>
        <v>札幌市手稲区手稲星置</v>
      </c>
      <c r="BD731" s="56" t="s">
        <v>579</v>
      </c>
      <c r="BE731" s="303" t="s">
        <v>1227</v>
      </c>
      <c r="BF731" s="344"/>
      <c r="BG731" s="344"/>
      <c r="BH731" s="344"/>
      <c r="BI731" s="344"/>
      <c r="BJ731" s="344"/>
      <c r="BK731" s="344"/>
      <c r="BL731" s="344"/>
      <c r="BO731" s="344"/>
      <c r="BP731" s="344"/>
    </row>
    <row r="732" spans="54:68">
      <c r="BB732" s="794">
        <v>60829</v>
      </c>
      <c r="BC732" s="344" t="str">
        <f t="shared" si="11"/>
        <v>札幌市手稲区手稲前田</v>
      </c>
      <c r="BD732" s="56" t="s">
        <v>579</v>
      </c>
      <c r="BE732" s="303" t="s">
        <v>1228</v>
      </c>
      <c r="BF732" s="344"/>
      <c r="BG732" s="344"/>
      <c r="BH732" s="344"/>
      <c r="BI732" s="344"/>
      <c r="BJ732" s="344"/>
      <c r="BK732" s="344"/>
      <c r="BL732" s="344"/>
      <c r="BO732" s="344"/>
      <c r="BP732" s="344"/>
    </row>
    <row r="733" spans="54:68">
      <c r="BB733" s="794">
        <v>60860</v>
      </c>
      <c r="BC733" s="344" t="str">
        <f t="shared" si="11"/>
        <v>札幌市手稲区手稲山口</v>
      </c>
      <c r="BD733" s="56" t="s">
        <v>579</v>
      </c>
      <c r="BE733" s="303" t="s">
        <v>1229</v>
      </c>
      <c r="BF733" s="344"/>
      <c r="BG733" s="344"/>
      <c r="BH733" s="344"/>
      <c r="BI733" s="344"/>
      <c r="BJ733" s="344"/>
      <c r="BK733" s="344"/>
      <c r="BL733" s="344"/>
      <c r="BO733" s="344"/>
      <c r="BP733" s="344"/>
    </row>
    <row r="734" spans="54:68">
      <c r="BB734" s="794">
        <v>60029</v>
      </c>
      <c r="BC734" s="344" t="str">
        <f t="shared" si="11"/>
        <v>札幌市手稲区手稲本町</v>
      </c>
      <c r="BD734" s="56" t="s">
        <v>579</v>
      </c>
      <c r="BE734" s="303" t="s">
        <v>1230</v>
      </c>
      <c r="BF734" s="344"/>
      <c r="BG734" s="344"/>
      <c r="BH734" s="344"/>
      <c r="BI734" s="344"/>
      <c r="BJ734" s="344"/>
      <c r="BK734" s="344"/>
      <c r="BL734" s="344"/>
      <c r="BO734" s="344"/>
      <c r="BP734" s="344"/>
    </row>
    <row r="735" spans="54:68">
      <c r="BB735" s="794">
        <v>60021</v>
      </c>
      <c r="BC735" s="344" t="str">
        <f t="shared" si="11"/>
        <v>札幌市手稲区手稲本町一条</v>
      </c>
      <c r="BD735" s="56" t="s">
        <v>579</v>
      </c>
      <c r="BE735" s="303" t="s">
        <v>1231</v>
      </c>
      <c r="BF735" s="344"/>
      <c r="BG735" s="344"/>
      <c r="BH735" s="344"/>
      <c r="BI735" s="344"/>
      <c r="BJ735" s="344"/>
      <c r="BK735" s="344"/>
      <c r="BL735" s="344"/>
      <c r="BO735" s="344"/>
      <c r="BP735" s="344"/>
    </row>
    <row r="736" spans="54:68">
      <c r="BB736" s="794">
        <v>60022</v>
      </c>
      <c r="BC736" s="344" t="str">
        <f t="shared" si="11"/>
        <v>札幌市手稲区手稲本町二条</v>
      </c>
      <c r="BD736" s="56" t="s">
        <v>579</v>
      </c>
      <c r="BE736" s="303" t="s">
        <v>1232</v>
      </c>
      <c r="BF736" s="344"/>
      <c r="BG736" s="344"/>
      <c r="BH736" s="344"/>
      <c r="BI736" s="344"/>
      <c r="BJ736" s="344"/>
      <c r="BK736" s="344"/>
      <c r="BL736" s="344"/>
      <c r="BO736" s="344"/>
      <c r="BP736" s="344"/>
    </row>
    <row r="737" spans="54:68">
      <c r="BB737" s="794">
        <v>60023</v>
      </c>
      <c r="BC737" s="344" t="str">
        <f t="shared" si="11"/>
        <v>札幌市手稲区手稲本町三条</v>
      </c>
      <c r="BD737" s="56" t="s">
        <v>579</v>
      </c>
      <c r="BE737" s="303" t="s">
        <v>1233</v>
      </c>
      <c r="BF737" s="344"/>
      <c r="BG737" s="344"/>
      <c r="BH737" s="344"/>
      <c r="BI737" s="344"/>
      <c r="BJ737" s="344"/>
      <c r="BK737" s="344"/>
      <c r="BL737" s="344"/>
      <c r="BO737" s="344"/>
      <c r="BP737" s="344"/>
    </row>
    <row r="738" spans="54:68">
      <c r="BB738" s="794">
        <v>60024</v>
      </c>
      <c r="BC738" s="344" t="str">
        <f t="shared" si="11"/>
        <v>札幌市手稲区手稲本町四条</v>
      </c>
      <c r="BD738" s="56" t="s">
        <v>579</v>
      </c>
      <c r="BE738" s="303" t="s">
        <v>1234</v>
      </c>
      <c r="BF738" s="344"/>
      <c r="BG738" s="344"/>
      <c r="BH738" s="344"/>
      <c r="BI738" s="344"/>
      <c r="BJ738" s="344"/>
      <c r="BK738" s="344"/>
      <c r="BL738" s="344"/>
      <c r="BO738" s="344"/>
      <c r="BP738" s="344"/>
    </row>
    <row r="739" spans="54:68">
      <c r="BB739" s="794">
        <v>60025</v>
      </c>
      <c r="BC739" s="344" t="str">
        <f t="shared" si="11"/>
        <v>札幌市手稲区手稲本町五条</v>
      </c>
      <c r="BD739" s="56" t="s">
        <v>579</v>
      </c>
      <c r="BE739" s="303" t="s">
        <v>1235</v>
      </c>
      <c r="BF739" s="344"/>
      <c r="BG739" s="344"/>
      <c r="BH739" s="344"/>
      <c r="BI739" s="344"/>
      <c r="BJ739" s="344"/>
      <c r="BK739" s="344"/>
      <c r="BL739" s="344"/>
      <c r="BO739" s="344"/>
      <c r="BP739" s="344"/>
    </row>
    <row r="740" spans="54:68">
      <c r="BB740" s="794">
        <v>60026</v>
      </c>
      <c r="BC740" s="344" t="str">
        <f t="shared" si="11"/>
        <v>札幌市手稲区手稲本町六条</v>
      </c>
      <c r="BD740" s="56" t="s">
        <v>579</v>
      </c>
      <c r="BE740" s="303" t="s">
        <v>1236</v>
      </c>
      <c r="BF740" s="344"/>
      <c r="BG740" s="344"/>
      <c r="BH740" s="344"/>
      <c r="BI740" s="344"/>
      <c r="BJ740" s="344"/>
      <c r="BK740" s="344"/>
      <c r="BL740" s="344"/>
      <c r="BO740" s="344"/>
      <c r="BP740" s="344"/>
    </row>
    <row r="741" spans="54:68">
      <c r="BB741" s="794">
        <v>60011</v>
      </c>
      <c r="BC741" s="344" t="str">
        <f t="shared" si="11"/>
        <v>札幌市手稲区富丘一条</v>
      </c>
      <c r="BD741" s="56" t="s">
        <v>579</v>
      </c>
      <c r="BE741" s="303" t="s">
        <v>1237</v>
      </c>
      <c r="BF741" s="344"/>
      <c r="BG741" s="344"/>
      <c r="BH741" s="344"/>
      <c r="BI741" s="344"/>
      <c r="BJ741" s="344"/>
      <c r="BK741" s="344"/>
      <c r="BL741" s="344"/>
      <c r="BO741" s="344"/>
      <c r="BP741" s="344"/>
    </row>
    <row r="742" spans="54:68">
      <c r="BB742" s="794">
        <v>60012</v>
      </c>
      <c r="BC742" s="344" t="str">
        <f t="shared" si="11"/>
        <v>札幌市手稲区富丘二条</v>
      </c>
      <c r="BD742" s="56" t="s">
        <v>579</v>
      </c>
      <c r="BE742" s="303" t="s">
        <v>1238</v>
      </c>
      <c r="BF742" s="344"/>
      <c r="BG742" s="344"/>
      <c r="BH742" s="344"/>
      <c r="BI742" s="344"/>
      <c r="BJ742" s="344"/>
      <c r="BK742" s="344"/>
      <c r="BL742" s="344"/>
      <c r="BO742" s="344"/>
      <c r="BP742" s="344"/>
    </row>
    <row r="743" spans="54:68">
      <c r="BB743" s="794">
        <v>60013</v>
      </c>
      <c r="BC743" s="344" t="str">
        <f t="shared" si="11"/>
        <v>札幌市手稲区富丘三条</v>
      </c>
      <c r="BD743" s="56" t="s">
        <v>579</v>
      </c>
      <c r="BE743" s="303" t="s">
        <v>1239</v>
      </c>
      <c r="BF743" s="344"/>
      <c r="BG743" s="344"/>
      <c r="BH743" s="344"/>
      <c r="BI743" s="344"/>
      <c r="BJ743" s="344"/>
      <c r="BK743" s="344"/>
      <c r="BL743" s="344"/>
      <c r="BO743" s="344"/>
      <c r="BP743" s="344"/>
    </row>
    <row r="744" spans="54:68">
      <c r="BB744" s="794">
        <v>60014</v>
      </c>
      <c r="BC744" s="344" t="str">
        <f t="shared" si="11"/>
        <v>札幌市手稲区富丘四条</v>
      </c>
      <c r="BD744" s="56" t="s">
        <v>579</v>
      </c>
      <c r="BE744" s="303" t="s">
        <v>1240</v>
      </c>
      <c r="BF744" s="344"/>
      <c r="BG744" s="344"/>
      <c r="BH744" s="344"/>
      <c r="BI744" s="344"/>
      <c r="BJ744" s="344"/>
      <c r="BK744" s="344"/>
      <c r="BL744" s="344"/>
      <c r="BO744" s="344"/>
      <c r="BP744" s="344"/>
    </row>
    <row r="745" spans="54:68">
      <c r="BB745" s="794">
        <v>60015</v>
      </c>
      <c r="BC745" s="344" t="str">
        <f t="shared" si="11"/>
        <v>札幌市手稲区富丘五条</v>
      </c>
      <c r="BD745" s="56" t="s">
        <v>579</v>
      </c>
      <c r="BE745" s="303" t="s">
        <v>1241</v>
      </c>
      <c r="BF745" s="344"/>
      <c r="BG745" s="344"/>
      <c r="BH745" s="344"/>
      <c r="BI745" s="344"/>
      <c r="BJ745" s="344"/>
      <c r="BK745" s="344"/>
      <c r="BL745" s="344"/>
      <c r="BO745" s="344"/>
      <c r="BP745" s="344"/>
    </row>
    <row r="746" spans="54:68">
      <c r="BB746" s="794">
        <v>60016</v>
      </c>
      <c r="BC746" s="344" t="str">
        <f t="shared" si="11"/>
        <v>札幌市手稲区富丘六条</v>
      </c>
      <c r="BD746" s="56" t="s">
        <v>579</v>
      </c>
      <c r="BE746" s="303" t="s">
        <v>1242</v>
      </c>
      <c r="BF746" s="344"/>
      <c r="BG746" s="344"/>
      <c r="BH746" s="344"/>
      <c r="BI746" s="344"/>
      <c r="BJ746" s="344"/>
      <c r="BK746" s="344"/>
      <c r="BL746" s="344"/>
      <c r="BO746" s="344"/>
      <c r="BP746" s="344"/>
    </row>
    <row r="747" spans="54:68">
      <c r="BB747" s="794">
        <v>60009</v>
      </c>
      <c r="BC747" s="344" t="str">
        <f t="shared" si="11"/>
        <v>札幌市手稲区西宮の沢</v>
      </c>
      <c r="BD747" s="56" t="s">
        <v>579</v>
      </c>
      <c r="BE747" s="303" t="s">
        <v>1243</v>
      </c>
      <c r="BF747" s="344"/>
      <c r="BG747" s="344"/>
      <c r="BH747" s="344"/>
      <c r="BI747" s="344"/>
      <c r="BJ747" s="344"/>
      <c r="BK747" s="344"/>
      <c r="BL747" s="344"/>
      <c r="BO747" s="344"/>
      <c r="BP747" s="344"/>
    </row>
    <row r="748" spans="54:68">
      <c r="BB748" s="794">
        <v>60001</v>
      </c>
      <c r="BC748" s="344" t="str">
        <f t="shared" si="11"/>
        <v>札幌市手稲区西宮の沢一条</v>
      </c>
      <c r="BD748" s="56" t="s">
        <v>579</v>
      </c>
      <c r="BE748" s="303" t="s">
        <v>1244</v>
      </c>
      <c r="BF748" s="344"/>
      <c r="BG748" s="344"/>
      <c r="BH748" s="344"/>
      <c r="BI748" s="344"/>
      <c r="BJ748" s="344"/>
      <c r="BK748" s="344"/>
      <c r="BL748" s="344"/>
      <c r="BO748" s="344"/>
      <c r="BP748" s="344"/>
    </row>
    <row r="749" spans="54:68">
      <c r="BB749" s="794">
        <v>60002</v>
      </c>
      <c r="BC749" s="344" t="str">
        <f t="shared" si="11"/>
        <v>札幌市手稲区西宮の沢二条</v>
      </c>
      <c r="BD749" s="56" t="s">
        <v>579</v>
      </c>
      <c r="BE749" s="303" t="s">
        <v>1245</v>
      </c>
      <c r="BF749" s="344"/>
      <c r="BG749" s="344"/>
      <c r="BH749" s="344"/>
      <c r="BI749" s="344"/>
      <c r="BJ749" s="344"/>
      <c r="BK749" s="344"/>
      <c r="BL749" s="344"/>
      <c r="BO749" s="344"/>
      <c r="BP749" s="344"/>
    </row>
    <row r="750" spans="54:68">
      <c r="BB750" s="794">
        <v>60003</v>
      </c>
      <c r="BC750" s="344" t="str">
        <f t="shared" si="11"/>
        <v>札幌市手稲区西宮の沢三条</v>
      </c>
      <c r="BD750" s="56" t="s">
        <v>579</v>
      </c>
      <c r="BE750" s="303" t="s">
        <v>1246</v>
      </c>
      <c r="BF750" s="344"/>
      <c r="BG750" s="344"/>
      <c r="BH750" s="344"/>
      <c r="BI750" s="344"/>
      <c r="BJ750" s="344"/>
      <c r="BK750" s="344"/>
      <c r="BL750" s="344"/>
      <c r="BO750" s="344"/>
      <c r="BP750" s="344"/>
    </row>
    <row r="751" spans="54:68">
      <c r="BB751" s="794">
        <v>60004</v>
      </c>
      <c r="BC751" s="344" t="str">
        <f t="shared" si="11"/>
        <v>札幌市手稲区西宮の沢四条</v>
      </c>
      <c r="BD751" s="56" t="s">
        <v>579</v>
      </c>
      <c r="BE751" s="303" t="s">
        <v>1247</v>
      </c>
      <c r="BF751" s="344"/>
      <c r="BG751" s="344"/>
      <c r="BH751" s="344"/>
      <c r="BI751" s="344"/>
      <c r="BJ751" s="344"/>
      <c r="BK751" s="344"/>
      <c r="BL751" s="344"/>
      <c r="BO751" s="344"/>
      <c r="BP751" s="344"/>
    </row>
    <row r="752" spans="54:68">
      <c r="BB752" s="794">
        <v>60005</v>
      </c>
      <c r="BC752" s="344" t="str">
        <f t="shared" si="11"/>
        <v>札幌市手稲区西宮の沢五条</v>
      </c>
      <c r="BD752" s="56" t="s">
        <v>579</v>
      </c>
      <c r="BE752" s="303" t="s">
        <v>1248</v>
      </c>
      <c r="BF752" s="344"/>
      <c r="BG752" s="344"/>
      <c r="BH752" s="344"/>
      <c r="BI752" s="344"/>
      <c r="BJ752" s="344"/>
      <c r="BK752" s="344"/>
      <c r="BL752" s="344"/>
      <c r="BO752" s="344"/>
      <c r="BP752" s="344"/>
    </row>
    <row r="753" spans="54:68">
      <c r="BB753" s="794">
        <v>60006</v>
      </c>
      <c r="BC753" s="344" t="str">
        <f t="shared" si="11"/>
        <v>札幌市手稲区西宮の沢六条</v>
      </c>
      <c r="BD753" s="56" t="s">
        <v>579</v>
      </c>
      <c r="BE753" s="303" t="s">
        <v>1249</v>
      </c>
      <c r="BF753" s="344"/>
      <c r="BG753" s="344"/>
      <c r="BH753" s="344"/>
      <c r="BI753" s="344"/>
      <c r="BJ753" s="344"/>
      <c r="BK753" s="344"/>
      <c r="BL753" s="344"/>
      <c r="BO753" s="344"/>
      <c r="BP753" s="344"/>
    </row>
    <row r="754" spans="54:68">
      <c r="BB754" s="794">
        <v>60851</v>
      </c>
      <c r="BC754" s="344" t="str">
        <f t="shared" si="11"/>
        <v>札幌市手稲区星置一条</v>
      </c>
      <c r="BD754" s="56" t="s">
        <v>579</v>
      </c>
      <c r="BE754" s="303" t="s">
        <v>1250</v>
      </c>
      <c r="BF754" s="344"/>
      <c r="BG754" s="344"/>
      <c r="BH754" s="344"/>
      <c r="BI754" s="344"/>
      <c r="BJ754" s="344"/>
      <c r="BK754" s="344"/>
      <c r="BL754" s="344"/>
      <c r="BO754" s="344"/>
      <c r="BP754" s="344"/>
    </row>
    <row r="755" spans="54:68">
      <c r="BB755" s="794">
        <v>60852</v>
      </c>
      <c r="BC755" s="344" t="str">
        <f t="shared" si="11"/>
        <v>札幌市手稲区星置二条</v>
      </c>
      <c r="BD755" s="56" t="s">
        <v>579</v>
      </c>
      <c r="BE755" s="303" t="s">
        <v>1251</v>
      </c>
      <c r="BF755" s="344"/>
      <c r="BG755" s="344"/>
      <c r="BH755" s="344"/>
      <c r="BI755" s="344"/>
      <c r="BJ755" s="344"/>
      <c r="BK755" s="344"/>
      <c r="BL755" s="344"/>
      <c r="BO755" s="344"/>
      <c r="BP755" s="344"/>
    </row>
    <row r="756" spans="54:68">
      <c r="BB756" s="794">
        <v>60853</v>
      </c>
      <c r="BC756" s="344" t="str">
        <f t="shared" si="11"/>
        <v>札幌市手稲区星置三条</v>
      </c>
      <c r="BD756" s="56" t="s">
        <v>579</v>
      </c>
      <c r="BE756" s="303" t="s">
        <v>1252</v>
      </c>
      <c r="BF756" s="344"/>
      <c r="BG756" s="344"/>
      <c r="BH756" s="344"/>
      <c r="BI756" s="344"/>
      <c r="BJ756" s="344"/>
      <c r="BK756" s="344"/>
      <c r="BL756" s="344"/>
      <c r="BO756" s="344"/>
      <c r="BP756" s="344"/>
    </row>
    <row r="757" spans="54:68">
      <c r="BB757" s="794">
        <v>60050</v>
      </c>
      <c r="BC757" s="344" t="str">
        <f t="shared" si="11"/>
        <v>札幌市手稲区星置南</v>
      </c>
      <c r="BD757" s="56" t="s">
        <v>579</v>
      </c>
      <c r="BE757" s="303" t="s">
        <v>1253</v>
      </c>
      <c r="BF757" s="344"/>
      <c r="BG757" s="344"/>
      <c r="BH757" s="344"/>
      <c r="BI757" s="344"/>
      <c r="BJ757" s="344"/>
      <c r="BK757" s="344"/>
      <c r="BL757" s="344"/>
      <c r="BO757" s="344"/>
      <c r="BP757" s="344"/>
    </row>
    <row r="758" spans="54:68">
      <c r="BB758" s="794">
        <v>60811</v>
      </c>
      <c r="BC758" s="344" t="str">
        <f t="shared" si="11"/>
        <v>札幌市手稲区前田一条</v>
      </c>
      <c r="BD758" s="56" t="s">
        <v>579</v>
      </c>
      <c r="BE758" s="303" t="s">
        <v>1254</v>
      </c>
      <c r="BF758" s="344"/>
      <c r="BG758" s="344"/>
      <c r="BH758" s="344"/>
      <c r="BI758" s="344"/>
      <c r="BJ758" s="344"/>
      <c r="BK758" s="344"/>
      <c r="BL758" s="344"/>
      <c r="BO758" s="344"/>
      <c r="BP758" s="344"/>
    </row>
    <row r="759" spans="54:68">
      <c r="BB759" s="794">
        <v>60812</v>
      </c>
      <c r="BC759" s="344" t="str">
        <f t="shared" si="11"/>
        <v>札幌市手稲区前田二条</v>
      </c>
      <c r="BD759" s="56" t="s">
        <v>579</v>
      </c>
      <c r="BE759" s="303" t="s">
        <v>1255</v>
      </c>
      <c r="BF759" s="344"/>
      <c r="BG759" s="344"/>
      <c r="BH759" s="344"/>
      <c r="BI759" s="344"/>
      <c r="BJ759" s="344"/>
      <c r="BK759" s="344"/>
      <c r="BL759" s="344"/>
      <c r="BO759" s="344"/>
      <c r="BP759" s="344"/>
    </row>
    <row r="760" spans="54:68">
      <c r="BB760" s="794">
        <v>60813</v>
      </c>
      <c r="BC760" s="344" t="str">
        <f t="shared" si="11"/>
        <v>札幌市手稲区前田三条</v>
      </c>
      <c r="BD760" s="56" t="s">
        <v>579</v>
      </c>
      <c r="BE760" s="303" t="s">
        <v>1256</v>
      </c>
      <c r="BF760" s="344"/>
      <c r="BG760" s="344"/>
      <c r="BH760" s="344"/>
      <c r="BI760" s="344"/>
      <c r="BJ760" s="344"/>
      <c r="BK760" s="344"/>
      <c r="BL760" s="344"/>
      <c r="BO760" s="344"/>
      <c r="BP760" s="344"/>
    </row>
    <row r="761" spans="54:68">
      <c r="BB761" s="794">
        <v>60814</v>
      </c>
      <c r="BC761" s="344" t="str">
        <f t="shared" si="11"/>
        <v>札幌市手稲区前田四条</v>
      </c>
      <c r="BD761" s="56" t="s">
        <v>579</v>
      </c>
      <c r="BE761" s="303" t="s">
        <v>1257</v>
      </c>
      <c r="BF761" s="344"/>
      <c r="BG761" s="344"/>
      <c r="BH761" s="344"/>
      <c r="BI761" s="344"/>
      <c r="BJ761" s="344"/>
      <c r="BK761" s="344"/>
      <c r="BL761" s="344"/>
      <c r="BO761" s="344"/>
      <c r="BP761" s="344"/>
    </row>
    <row r="762" spans="54:68">
      <c r="BB762" s="794">
        <v>60815</v>
      </c>
      <c r="BC762" s="344" t="str">
        <f t="shared" si="11"/>
        <v>札幌市手稲区前田五条</v>
      </c>
      <c r="BD762" s="56" t="s">
        <v>579</v>
      </c>
      <c r="BE762" s="303" t="s">
        <v>1258</v>
      </c>
      <c r="BF762" s="344"/>
      <c r="BG762" s="344"/>
      <c r="BH762" s="344"/>
      <c r="BI762" s="344"/>
      <c r="BJ762" s="344"/>
      <c r="BK762" s="344"/>
      <c r="BL762" s="344"/>
      <c r="BO762" s="344"/>
      <c r="BP762" s="344"/>
    </row>
    <row r="763" spans="54:68">
      <c r="BB763" s="794">
        <v>60816</v>
      </c>
      <c r="BC763" s="344" t="str">
        <f t="shared" si="11"/>
        <v>札幌市手稲区前田六条</v>
      </c>
      <c r="BD763" s="56" t="s">
        <v>579</v>
      </c>
      <c r="BE763" s="303" t="s">
        <v>1259</v>
      </c>
      <c r="BF763" s="344"/>
      <c r="BG763" s="344"/>
      <c r="BH763" s="344"/>
      <c r="BI763" s="344"/>
      <c r="BJ763" s="344"/>
      <c r="BK763" s="344"/>
      <c r="BL763" s="344"/>
      <c r="BO763" s="344"/>
      <c r="BP763" s="344"/>
    </row>
    <row r="764" spans="54:68">
      <c r="BB764" s="794">
        <v>60817</v>
      </c>
      <c r="BC764" s="344" t="str">
        <f t="shared" si="11"/>
        <v>札幌市手稲区前田七条</v>
      </c>
      <c r="BD764" s="56" t="s">
        <v>579</v>
      </c>
      <c r="BE764" s="303" t="s">
        <v>1260</v>
      </c>
      <c r="BF764" s="344"/>
      <c r="BG764" s="344"/>
      <c r="BH764" s="344"/>
      <c r="BI764" s="344"/>
      <c r="BJ764" s="344"/>
      <c r="BK764" s="344"/>
      <c r="BL764" s="344"/>
      <c r="BO764" s="344"/>
      <c r="BP764" s="344"/>
    </row>
    <row r="765" spans="54:68">
      <c r="BB765" s="794">
        <v>60818</v>
      </c>
      <c r="BC765" s="344" t="str">
        <f t="shared" si="11"/>
        <v>札幌市手稲区前田八条</v>
      </c>
      <c r="BD765" s="56" t="s">
        <v>579</v>
      </c>
      <c r="BE765" s="303" t="s">
        <v>1261</v>
      </c>
      <c r="BF765" s="344"/>
      <c r="BG765" s="344"/>
      <c r="BH765" s="344"/>
      <c r="BI765" s="344"/>
      <c r="BJ765" s="344"/>
      <c r="BK765" s="344"/>
      <c r="BL765" s="344"/>
      <c r="BO765" s="344"/>
      <c r="BP765" s="344"/>
    </row>
    <row r="766" spans="54:68">
      <c r="BB766" s="794">
        <v>60819</v>
      </c>
      <c r="BC766" s="344" t="str">
        <f t="shared" si="11"/>
        <v>札幌市手稲区前田九条</v>
      </c>
      <c r="BD766" s="56" t="s">
        <v>579</v>
      </c>
      <c r="BE766" s="303" t="s">
        <v>1262</v>
      </c>
      <c r="BF766" s="344"/>
      <c r="BG766" s="344"/>
      <c r="BH766" s="344"/>
      <c r="BI766" s="344"/>
      <c r="BJ766" s="344"/>
      <c r="BK766" s="344"/>
      <c r="BL766" s="344"/>
      <c r="BO766" s="344"/>
      <c r="BP766" s="344"/>
    </row>
    <row r="767" spans="54:68">
      <c r="BB767" s="794">
        <v>60820</v>
      </c>
      <c r="BC767" s="344" t="str">
        <f t="shared" ref="BC767:BC821" si="12">BD767&amp;BE767</f>
        <v>札幌市手稲区前田十条</v>
      </c>
      <c r="BD767" s="56" t="s">
        <v>579</v>
      </c>
      <c r="BE767" s="303" t="s">
        <v>1263</v>
      </c>
      <c r="BF767" s="344"/>
      <c r="BG767" s="344"/>
      <c r="BH767" s="344"/>
      <c r="BI767" s="344"/>
      <c r="BJ767" s="344"/>
      <c r="BK767" s="344"/>
      <c r="BL767" s="344"/>
      <c r="BO767" s="344"/>
      <c r="BP767" s="344"/>
    </row>
    <row r="768" spans="54:68">
      <c r="BB768" s="794">
        <v>60821</v>
      </c>
      <c r="BC768" s="344" t="str">
        <f t="shared" si="12"/>
        <v>札幌市手稲区前田十一条</v>
      </c>
      <c r="BD768" s="56" t="s">
        <v>579</v>
      </c>
      <c r="BE768" s="303" t="s">
        <v>1264</v>
      </c>
      <c r="BF768" s="344"/>
      <c r="BG768" s="344"/>
      <c r="BH768" s="344"/>
      <c r="BI768" s="344"/>
      <c r="BJ768" s="344"/>
      <c r="BK768" s="344"/>
      <c r="BL768" s="344"/>
      <c r="BO768" s="344"/>
      <c r="BP768" s="344"/>
    </row>
    <row r="769" spans="54:68">
      <c r="BB769" s="794">
        <v>60822</v>
      </c>
      <c r="BC769" s="344" t="str">
        <f t="shared" si="12"/>
        <v>札幌市手稲区前田十二条</v>
      </c>
      <c r="BD769" s="56" t="s">
        <v>579</v>
      </c>
      <c r="BE769" s="303" t="s">
        <v>1265</v>
      </c>
      <c r="BF769" s="344"/>
      <c r="BG769" s="344"/>
      <c r="BH769" s="344"/>
      <c r="BI769" s="344"/>
      <c r="BJ769" s="344"/>
      <c r="BK769" s="344"/>
      <c r="BL769" s="344"/>
      <c r="BO769" s="344"/>
      <c r="BP769" s="344"/>
    </row>
    <row r="770" spans="54:68">
      <c r="BB770" s="794">
        <v>60823</v>
      </c>
      <c r="BC770" s="344" t="str">
        <f t="shared" si="12"/>
        <v>札幌市手稲区前田十三条</v>
      </c>
      <c r="BD770" s="56" t="s">
        <v>579</v>
      </c>
      <c r="BE770" s="303" t="s">
        <v>1266</v>
      </c>
      <c r="BF770" s="344"/>
      <c r="BG770" s="344"/>
      <c r="BH770" s="344"/>
      <c r="BI770" s="344"/>
      <c r="BJ770" s="344"/>
      <c r="BK770" s="344"/>
      <c r="BL770" s="344"/>
      <c r="BO770" s="344"/>
      <c r="BP770" s="344"/>
    </row>
    <row r="771" spans="54:68">
      <c r="BB771" s="794">
        <v>40000</v>
      </c>
      <c r="BC771" s="344" t="str">
        <f t="shared" si="12"/>
        <v>札幌市清田区</v>
      </c>
      <c r="BD771" s="56" t="s">
        <v>580</v>
      </c>
      <c r="BE771" s="303"/>
      <c r="BF771" s="344"/>
      <c r="BG771" s="344"/>
      <c r="BH771" s="344"/>
      <c r="BI771" s="344"/>
      <c r="BJ771" s="344"/>
      <c r="BK771" s="344"/>
      <c r="BL771" s="344"/>
      <c r="BO771" s="344"/>
      <c r="BP771" s="344"/>
    </row>
    <row r="772" spans="54:68">
      <c r="BB772" s="794">
        <v>40821</v>
      </c>
      <c r="BC772" s="344" t="str">
        <f t="shared" si="12"/>
        <v>札幌市清田区有明</v>
      </c>
      <c r="BD772" s="56" t="s">
        <v>580</v>
      </c>
      <c r="BE772" s="303" t="s">
        <v>1267</v>
      </c>
      <c r="BF772" s="344"/>
      <c r="BG772" s="344"/>
      <c r="BH772" s="344"/>
      <c r="BI772" s="344"/>
      <c r="BJ772" s="344"/>
      <c r="BK772" s="344"/>
      <c r="BL772" s="344"/>
      <c r="BO772" s="344"/>
      <c r="BP772" s="344"/>
    </row>
    <row r="773" spans="54:68">
      <c r="BB773" s="794">
        <v>40811</v>
      </c>
      <c r="BC773" s="344" t="str">
        <f t="shared" si="12"/>
        <v>札幌市清田区美しが丘一条</v>
      </c>
      <c r="BD773" s="56" t="s">
        <v>580</v>
      </c>
      <c r="BE773" s="303" t="s">
        <v>1268</v>
      </c>
      <c r="BF773" s="344"/>
      <c r="BG773" s="344"/>
      <c r="BH773" s="344"/>
      <c r="BI773" s="344"/>
      <c r="BJ773" s="344"/>
      <c r="BK773" s="344"/>
      <c r="BL773" s="344"/>
      <c r="BO773" s="344"/>
      <c r="BP773" s="344"/>
    </row>
    <row r="774" spans="54:68">
      <c r="BB774" s="794">
        <v>40812</v>
      </c>
      <c r="BC774" s="344" t="str">
        <f t="shared" si="12"/>
        <v>札幌市清田区美しが丘二条</v>
      </c>
      <c r="BD774" s="56" t="s">
        <v>580</v>
      </c>
      <c r="BE774" s="303" t="s">
        <v>1269</v>
      </c>
      <c r="BF774" s="344"/>
      <c r="BG774" s="344"/>
      <c r="BH774" s="344"/>
      <c r="BI774" s="344"/>
      <c r="BJ774" s="344"/>
      <c r="BK774" s="344"/>
      <c r="BL774" s="344"/>
      <c r="BO774" s="344"/>
      <c r="BP774" s="344"/>
    </row>
    <row r="775" spans="54:68">
      <c r="BB775" s="794">
        <v>40813</v>
      </c>
      <c r="BC775" s="344" t="str">
        <f t="shared" si="12"/>
        <v>札幌市清田区美しが丘三条</v>
      </c>
      <c r="BD775" s="56" t="s">
        <v>580</v>
      </c>
      <c r="BE775" s="303" t="s">
        <v>1270</v>
      </c>
      <c r="BF775" s="344"/>
      <c r="BG775" s="344"/>
      <c r="BH775" s="344"/>
      <c r="BI775" s="344"/>
      <c r="BJ775" s="344"/>
      <c r="BK775" s="344"/>
      <c r="BL775" s="344"/>
      <c r="BO775" s="344"/>
      <c r="BP775" s="344"/>
    </row>
    <row r="776" spans="54:68">
      <c r="BB776" s="794">
        <v>40814</v>
      </c>
      <c r="BC776" s="344" t="str">
        <f t="shared" si="12"/>
        <v>札幌市清田区美しが丘四条</v>
      </c>
      <c r="BD776" s="56" t="s">
        <v>580</v>
      </c>
      <c r="BE776" s="303" t="s">
        <v>1271</v>
      </c>
      <c r="BF776" s="344"/>
      <c r="BG776" s="344"/>
      <c r="BH776" s="344"/>
      <c r="BI776" s="344"/>
      <c r="BJ776" s="344"/>
      <c r="BK776" s="344"/>
      <c r="BL776" s="344"/>
      <c r="BO776" s="344"/>
      <c r="BP776" s="344"/>
    </row>
    <row r="777" spans="54:68">
      <c r="BB777" s="794">
        <v>40815</v>
      </c>
      <c r="BC777" s="344" t="str">
        <f t="shared" si="12"/>
        <v>札幌市清田区美しが丘五条</v>
      </c>
      <c r="BD777" s="56" t="s">
        <v>580</v>
      </c>
      <c r="BE777" s="303" t="s">
        <v>1272</v>
      </c>
      <c r="BF777" s="344"/>
      <c r="BG777" s="344"/>
      <c r="BH777" s="344"/>
      <c r="BI777" s="344"/>
      <c r="BJ777" s="344"/>
      <c r="BK777" s="344"/>
      <c r="BL777" s="344"/>
      <c r="BO777" s="344"/>
      <c r="BP777" s="344"/>
    </row>
    <row r="778" spans="54:68">
      <c r="BB778" s="794">
        <v>40861</v>
      </c>
      <c r="BC778" s="344" t="str">
        <f t="shared" si="12"/>
        <v>札幌市清田区北野一条</v>
      </c>
      <c r="BD778" s="56" t="s">
        <v>580</v>
      </c>
      <c r="BE778" s="303" t="s">
        <v>1273</v>
      </c>
      <c r="BF778" s="344"/>
      <c r="BG778" s="344"/>
      <c r="BH778" s="344"/>
      <c r="BI778" s="344"/>
      <c r="BJ778" s="344"/>
      <c r="BK778" s="344"/>
      <c r="BL778" s="344"/>
      <c r="BO778" s="344"/>
      <c r="BP778" s="344"/>
    </row>
    <row r="779" spans="54:68">
      <c r="BB779" s="794">
        <v>40862</v>
      </c>
      <c r="BC779" s="344" t="str">
        <f t="shared" si="12"/>
        <v>札幌市清田区北野二条</v>
      </c>
      <c r="BD779" s="56" t="s">
        <v>580</v>
      </c>
      <c r="BE779" s="303" t="s">
        <v>1274</v>
      </c>
      <c r="BF779" s="344"/>
      <c r="BG779" s="344"/>
      <c r="BH779" s="344"/>
      <c r="BI779" s="344"/>
      <c r="BJ779" s="344"/>
      <c r="BK779" s="344"/>
      <c r="BL779" s="344"/>
      <c r="BO779" s="344"/>
      <c r="BP779" s="344"/>
    </row>
    <row r="780" spans="54:68">
      <c r="BB780" s="794">
        <v>40863</v>
      </c>
      <c r="BC780" s="344" t="str">
        <f t="shared" si="12"/>
        <v>札幌市清田区北野三条</v>
      </c>
      <c r="BD780" s="56" t="s">
        <v>580</v>
      </c>
      <c r="BE780" s="303" t="s">
        <v>1275</v>
      </c>
      <c r="BF780" s="344"/>
      <c r="BG780" s="344"/>
      <c r="BH780" s="344"/>
      <c r="BI780" s="344"/>
      <c r="BJ780" s="344"/>
      <c r="BK780" s="344"/>
      <c r="BL780" s="344"/>
      <c r="BO780" s="344"/>
      <c r="BP780" s="344"/>
    </row>
    <row r="781" spans="54:68">
      <c r="BB781" s="794">
        <v>40864</v>
      </c>
      <c r="BC781" s="344" t="str">
        <f t="shared" si="12"/>
        <v>札幌市清田区北野四条</v>
      </c>
      <c r="BD781" s="56" t="s">
        <v>580</v>
      </c>
      <c r="BE781" s="303" t="s">
        <v>1276</v>
      </c>
      <c r="BF781" s="344"/>
      <c r="BG781" s="344"/>
      <c r="BH781" s="344"/>
      <c r="BI781" s="344"/>
      <c r="BJ781" s="344"/>
      <c r="BK781" s="344"/>
      <c r="BL781" s="344"/>
      <c r="BO781" s="344"/>
      <c r="BP781" s="344"/>
    </row>
    <row r="782" spans="54:68">
      <c r="BB782" s="794">
        <v>40865</v>
      </c>
      <c r="BC782" s="344" t="str">
        <f t="shared" si="12"/>
        <v>札幌市清田区北野五条</v>
      </c>
      <c r="BD782" s="56" t="s">
        <v>580</v>
      </c>
      <c r="BE782" s="303" t="s">
        <v>1277</v>
      </c>
      <c r="BF782" s="344"/>
      <c r="BG782" s="344"/>
      <c r="BH782" s="344"/>
      <c r="BI782" s="344"/>
      <c r="BJ782" s="344"/>
      <c r="BK782" s="344"/>
      <c r="BL782" s="344"/>
      <c r="BO782" s="344"/>
      <c r="BP782" s="344"/>
    </row>
    <row r="783" spans="54:68">
      <c r="BB783" s="794">
        <v>40866</v>
      </c>
      <c r="BC783" s="344" t="str">
        <f t="shared" si="12"/>
        <v>札幌市清田区北野六条</v>
      </c>
      <c r="BD783" s="56" t="s">
        <v>580</v>
      </c>
      <c r="BE783" s="303" t="s">
        <v>1278</v>
      </c>
      <c r="BF783" s="344"/>
      <c r="BG783" s="344"/>
      <c r="BH783" s="344"/>
      <c r="BI783" s="344"/>
      <c r="BJ783" s="344"/>
      <c r="BK783" s="344"/>
      <c r="BL783" s="344"/>
      <c r="BO783" s="344"/>
      <c r="BP783" s="344"/>
    </row>
    <row r="784" spans="54:68">
      <c r="BB784" s="794">
        <v>40867</v>
      </c>
      <c r="BC784" s="344" t="str">
        <f t="shared" si="12"/>
        <v>札幌市清田区北野七条</v>
      </c>
      <c r="BD784" s="56" t="s">
        <v>580</v>
      </c>
      <c r="BE784" s="303" t="s">
        <v>1279</v>
      </c>
      <c r="BF784" s="344"/>
      <c r="BG784" s="344"/>
      <c r="BH784" s="344"/>
      <c r="BI784" s="344"/>
      <c r="BJ784" s="344"/>
      <c r="BK784" s="344"/>
      <c r="BL784" s="344"/>
      <c r="BO784" s="344"/>
      <c r="BP784" s="344"/>
    </row>
    <row r="785" spans="54:68">
      <c r="BB785" s="794">
        <v>40859</v>
      </c>
      <c r="BC785" s="344" t="str">
        <f t="shared" si="12"/>
        <v>札幌市清田区清田</v>
      </c>
      <c r="BD785" s="56" t="s">
        <v>580</v>
      </c>
      <c r="BE785" s="303" t="s">
        <v>1280</v>
      </c>
      <c r="BF785" s="344"/>
      <c r="BG785" s="344"/>
      <c r="BH785" s="344"/>
      <c r="BI785" s="344"/>
      <c r="BJ785" s="344"/>
      <c r="BK785" s="344"/>
      <c r="BL785" s="344"/>
      <c r="BO785" s="344"/>
      <c r="BP785" s="344"/>
    </row>
    <row r="786" spans="54:68">
      <c r="BB786" s="794">
        <v>40841</v>
      </c>
      <c r="BC786" s="344" t="str">
        <f t="shared" si="12"/>
        <v>札幌市清田区清田一条</v>
      </c>
      <c r="BD786" s="56" t="s">
        <v>580</v>
      </c>
      <c r="BE786" s="303" t="s">
        <v>1281</v>
      </c>
      <c r="BF786" s="344"/>
      <c r="BG786" s="344"/>
      <c r="BH786" s="344"/>
      <c r="BI786" s="344"/>
      <c r="BJ786" s="344"/>
      <c r="BK786" s="344"/>
      <c r="BL786" s="344"/>
      <c r="BO786" s="344"/>
      <c r="BP786" s="344"/>
    </row>
    <row r="787" spans="54:68">
      <c r="BB787" s="794">
        <v>40842</v>
      </c>
      <c r="BC787" s="344" t="str">
        <f t="shared" si="12"/>
        <v>札幌市清田区清田二条</v>
      </c>
      <c r="BD787" s="56" t="s">
        <v>580</v>
      </c>
      <c r="BE787" s="303" t="s">
        <v>1282</v>
      </c>
      <c r="BF787" s="344"/>
      <c r="BG787" s="344"/>
      <c r="BH787" s="344"/>
      <c r="BI787" s="344"/>
      <c r="BJ787" s="344"/>
      <c r="BK787" s="344"/>
      <c r="BL787" s="344"/>
      <c r="BO787" s="344"/>
      <c r="BP787" s="344"/>
    </row>
    <row r="788" spans="54:68">
      <c r="BB788" s="794">
        <v>40843</v>
      </c>
      <c r="BC788" s="344" t="str">
        <f t="shared" si="12"/>
        <v>札幌市清田区清田三条</v>
      </c>
      <c r="BD788" s="56" t="s">
        <v>580</v>
      </c>
      <c r="BE788" s="303" t="s">
        <v>1283</v>
      </c>
      <c r="BF788" s="344"/>
      <c r="BG788" s="344"/>
      <c r="BH788" s="344"/>
      <c r="BI788" s="344"/>
      <c r="BJ788" s="344"/>
      <c r="BK788" s="344"/>
      <c r="BL788" s="344"/>
      <c r="BO788" s="344"/>
      <c r="BP788" s="344"/>
    </row>
    <row r="789" spans="54:68">
      <c r="BB789" s="794">
        <v>40844</v>
      </c>
      <c r="BC789" s="344" t="str">
        <f t="shared" si="12"/>
        <v>札幌市清田区清田四条</v>
      </c>
      <c r="BD789" s="56" t="s">
        <v>580</v>
      </c>
      <c r="BE789" s="303" t="s">
        <v>1284</v>
      </c>
      <c r="BF789" s="344"/>
      <c r="BG789" s="344"/>
      <c r="BH789" s="344"/>
      <c r="BI789" s="344"/>
      <c r="BJ789" s="344"/>
      <c r="BK789" s="344"/>
      <c r="BL789" s="344"/>
      <c r="BO789" s="344"/>
      <c r="BP789" s="344"/>
    </row>
    <row r="790" spans="54:68">
      <c r="BB790" s="794">
        <v>40845</v>
      </c>
      <c r="BC790" s="344" t="str">
        <f t="shared" si="12"/>
        <v>札幌市清田区清田五条</v>
      </c>
      <c r="BD790" s="56" t="s">
        <v>580</v>
      </c>
      <c r="BE790" s="303" t="s">
        <v>1285</v>
      </c>
      <c r="BF790" s="344"/>
      <c r="BG790" s="344"/>
      <c r="BH790" s="344"/>
      <c r="BI790" s="344"/>
      <c r="BJ790" s="344"/>
      <c r="BK790" s="344"/>
      <c r="BL790" s="344"/>
      <c r="BO790" s="344"/>
      <c r="BP790" s="344"/>
    </row>
    <row r="791" spans="54:68">
      <c r="BB791" s="794">
        <v>40846</v>
      </c>
      <c r="BC791" s="344" t="str">
        <f t="shared" si="12"/>
        <v>札幌市清田区清田六条</v>
      </c>
      <c r="BD791" s="56" t="s">
        <v>580</v>
      </c>
      <c r="BE791" s="303" t="s">
        <v>1286</v>
      </c>
      <c r="BF791" s="344"/>
      <c r="BG791" s="344"/>
      <c r="BH791" s="344"/>
      <c r="BI791" s="344"/>
      <c r="BJ791" s="344"/>
      <c r="BK791" s="344"/>
      <c r="BL791" s="344"/>
      <c r="BO791" s="344"/>
      <c r="BP791" s="344"/>
    </row>
    <row r="792" spans="54:68">
      <c r="BB792" s="794">
        <v>40847</v>
      </c>
      <c r="BC792" s="344" t="str">
        <f t="shared" si="12"/>
        <v>札幌市清田区清田七条</v>
      </c>
      <c r="BD792" s="56" t="s">
        <v>580</v>
      </c>
      <c r="BE792" s="303" t="s">
        <v>1287</v>
      </c>
      <c r="BF792" s="344"/>
      <c r="BG792" s="344"/>
      <c r="BH792" s="344"/>
      <c r="BI792" s="344"/>
      <c r="BJ792" s="344"/>
      <c r="BK792" s="344"/>
      <c r="BL792" s="344"/>
      <c r="BO792" s="344"/>
      <c r="BP792" s="344"/>
    </row>
    <row r="793" spans="54:68">
      <c r="BB793" s="794">
        <v>40848</v>
      </c>
      <c r="BC793" s="344" t="str">
        <f t="shared" si="12"/>
        <v>札幌市清田区清田八条</v>
      </c>
      <c r="BD793" s="56" t="s">
        <v>580</v>
      </c>
      <c r="BE793" s="303" t="s">
        <v>1288</v>
      </c>
      <c r="BF793" s="344"/>
      <c r="BG793" s="344"/>
      <c r="BH793" s="344"/>
      <c r="BI793" s="344"/>
      <c r="BJ793" s="344"/>
      <c r="BK793" s="344"/>
      <c r="BL793" s="344"/>
      <c r="BO793" s="344"/>
      <c r="BP793" s="344"/>
    </row>
    <row r="794" spans="54:68">
      <c r="BB794" s="794">
        <v>40849</v>
      </c>
      <c r="BC794" s="344" t="str">
        <f t="shared" si="12"/>
        <v>札幌市清田区清田九条</v>
      </c>
      <c r="BD794" s="56" t="s">
        <v>580</v>
      </c>
      <c r="BE794" s="303" t="s">
        <v>1289</v>
      </c>
      <c r="BF794" s="344"/>
      <c r="BG794" s="344"/>
      <c r="BH794" s="344"/>
      <c r="BI794" s="344"/>
      <c r="BJ794" s="344"/>
      <c r="BK794" s="344"/>
      <c r="BL794" s="344"/>
      <c r="BO794" s="344"/>
      <c r="BP794" s="344"/>
    </row>
    <row r="795" spans="54:68">
      <c r="BB795" s="794">
        <v>40840</v>
      </c>
      <c r="BC795" s="344" t="str">
        <f t="shared" si="12"/>
        <v>札幌市清田区清田十条</v>
      </c>
      <c r="BD795" s="56" t="s">
        <v>580</v>
      </c>
      <c r="BE795" s="303" t="s">
        <v>1290</v>
      </c>
      <c r="BF795" s="344"/>
      <c r="BG795" s="344"/>
      <c r="BH795" s="344"/>
      <c r="BI795" s="344"/>
      <c r="BJ795" s="344"/>
      <c r="BK795" s="344"/>
      <c r="BL795" s="344"/>
      <c r="BO795" s="344"/>
      <c r="BP795" s="344"/>
    </row>
    <row r="796" spans="54:68">
      <c r="BB796" s="794">
        <v>40809</v>
      </c>
      <c r="BC796" s="344" t="str">
        <f t="shared" si="12"/>
        <v>札幌市清田区里塚</v>
      </c>
      <c r="BD796" s="56" t="s">
        <v>580</v>
      </c>
      <c r="BE796" s="303" t="s">
        <v>1291</v>
      </c>
      <c r="BF796" s="344"/>
      <c r="BG796" s="344"/>
      <c r="BH796" s="344"/>
      <c r="BI796" s="344"/>
      <c r="BJ796" s="344"/>
      <c r="BK796" s="344"/>
      <c r="BL796" s="344"/>
      <c r="BO796" s="344"/>
      <c r="BP796" s="344"/>
    </row>
    <row r="797" spans="54:68">
      <c r="BB797" s="794">
        <v>40801</v>
      </c>
      <c r="BC797" s="344" t="str">
        <f t="shared" si="12"/>
        <v>札幌市清田区里塚一条</v>
      </c>
      <c r="BD797" s="56" t="s">
        <v>580</v>
      </c>
      <c r="BE797" s="303" t="s">
        <v>1292</v>
      </c>
      <c r="BF797" s="344"/>
      <c r="BG797" s="344"/>
      <c r="BH797" s="344"/>
      <c r="BI797" s="344"/>
      <c r="BJ797" s="344"/>
      <c r="BK797" s="344"/>
      <c r="BL797" s="344"/>
      <c r="BO797" s="344"/>
      <c r="BP797" s="344"/>
    </row>
    <row r="798" spans="54:68">
      <c r="BB798" s="794">
        <v>40802</v>
      </c>
      <c r="BC798" s="344" t="str">
        <f t="shared" si="12"/>
        <v>札幌市清田区里塚二条</v>
      </c>
      <c r="BD798" s="56" t="s">
        <v>580</v>
      </c>
      <c r="BE798" s="303" t="s">
        <v>1293</v>
      </c>
      <c r="BF798" s="344"/>
      <c r="BG798" s="344"/>
      <c r="BH798" s="344"/>
      <c r="BI798" s="344"/>
      <c r="BJ798" s="344"/>
      <c r="BK798" s="344"/>
      <c r="BL798" s="344"/>
      <c r="BO798" s="344"/>
      <c r="BP798" s="344"/>
    </row>
    <row r="799" spans="54:68">
      <c r="BB799" s="794">
        <v>40803</v>
      </c>
      <c r="BC799" s="344" t="str">
        <f t="shared" si="12"/>
        <v>札幌市清田区里塚三条</v>
      </c>
      <c r="BD799" s="56" t="s">
        <v>580</v>
      </c>
      <c r="BE799" s="303" t="s">
        <v>1294</v>
      </c>
      <c r="BF799" s="344"/>
      <c r="BG799" s="344"/>
      <c r="BH799" s="344"/>
      <c r="BI799" s="344"/>
      <c r="BJ799" s="344"/>
      <c r="BK799" s="344"/>
      <c r="BL799" s="344"/>
      <c r="BO799" s="344"/>
      <c r="BP799" s="344"/>
    </row>
    <row r="800" spans="54:68">
      <c r="BB800" s="794">
        <v>40804</v>
      </c>
      <c r="BC800" s="344" t="str">
        <f t="shared" si="12"/>
        <v>札幌市清田区里塚四条</v>
      </c>
      <c r="BD800" s="56" t="s">
        <v>580</v>
      </c>
      <c r="BE800" s="303" t="s">
        <v>1295</v>
      </c>
      <c r="BF800" s="344"/>
      <c r="BG800" s="344"/>
      <c r="BH800" s="344"/>
      <c r="BI800" s="344"/>
      <c r="BJ800" s="344"/>
      <c r="BK800" s="344"/>
      <c r="BL800" s="344"/>
      <c r="BO800" s="344"/>
      <c r="BP800" s="344"/>
    </row>
    <row r="801" spans="54:68">
      <c r="BB801" s="794">
        <v>40805</v>
      </c>
      <c r="BC801" s="344" t="str">
        <f t="shared" si="12"/>
        <v>札幌市清田区里塚緑ケ丘</v>
      </c>
      <c r="BD801" s="56" t="s">
        <v>580</v>
      </c>
      <c r="BE801" s="303" t="s">
        <v>1296</v>
      </c>
      <c r="BF801" s="344"/>
      <c r="BG801" s="344"/>
      <c r="BH801" s="344"/>
      <c r="BI801" s="344"/>
      <c r="BJ801" s="344"/>
      <c r="BK801" s="344"/>
      <c r="BL801" s="344"/>
      <c r="BO801" s="344"/>
      <c r="BP801" s="344"/>
    </row>
    <row r="802" spans="54:68">
      <c r="BB802" s="794">
        <v>40839</v>
      </c>
      <c r="BC802" s="344" t="str">
        <f t="shared" si="12"/>
        <v>札幌市清田区真栄</v>
      </c>
      <c r="BD802" s="56" t="s">
        <v>580</v>
      </c>
      <c r="BE802" s="303" t="s">
        <v>1297</v>
      </c>
      <c r="BF802" s="344"/>
      <c r="BG802" s="344"/>
      <c r="BH802" s="344"/>
      <c r="BI802" s="344"/>
      <c r="BJ802" s="344"/>
      <c r="BK802" s="344"/>
      <c r="BL802" s="344"/>
      <c r="BO802" s="344"/>
      <c r="BP802" s="344"/>
    </row>
    <row r="803" spans="54:68">
      <c r="BB803" s="794">
        <v>40831</v>
      </c>
      <c r="BC803" s="344" t="str">
        <f t="shared" si="12"/>
        <v>札幌市清田区真栄一条</v>
      </c>
      <c r="BD803" s="56" t="s">
        <v>580</v>
      </c>
      <c r="BE803" s="303" t="s">
        <v>1298</v>
      </c>
      <c r="BF803" s="344"/>
      <c r="BG803" s="344"/>
      <c r="BH803" s="344"/>
      <c r="BI803" s="344"/>
      <c r="BJ803" s="344"/>
      <c r="BK803" s="344"/>
      <c r="BL803" s="344"/>
      <c r="BO803" s="344"/>
      <c r="BP803" s="344"/>
    </row>
    <row r="804" spans="54:68">
      <c r="BB804" s="794">
        <v>40832</v>
      </c>
      <c r="BC804" s="344" t="str">
        <f t="shared" si="12"/>
        <v>札幌市清田区真栄二条</v>
      </c>
      <c r="BD804" s="56" t="s">
        <v>580</v>
      </c>
      <c r="BE804" s="303" t="s">
        <v>1316</v>
      </c>
      <c r="BF804" s="344"/>
      <c r="BG804" s="344"/>
      <c r="BH804" s="344"/>
      <c r="BI804" s="344"/>
      <c r="BJ804" s="344"/>
      <c r="BK804" s="344"/>
      <c r="BL804" s="344"/>
      <c r="BO804" s="344"/>
      <c r="BP804" s="344"/>
    </row>
    <row r="805" spans="54:68">
      <c r="BB805" s="794">
        <v>40833</v>
      </c>
      <c r="BC805" s="344" t="str">
        <f t="shared" si="12"/>
        <v>札幌市清田区真栄三条</v>
      </c>
      <c r="BD805" s="56" t="s">
        <v>580</v>
      </c>
      <c r="BE805" s="303" t="s">
        <v>1299</v>
      </c>
      <c r="BF805" s="344"/>
      <c r="BG805" s="344"/>
      <c r="BH805" s="344"/>
      <c r="BI805" s="344"/>
      <c r="BJ805" s="344"/>
      <c r="BK805" s="344"/>
      <c r="BL805" s="344"/>
      <c r="BO805" s="344"/>
      <c r="BP805" s="344"/>
    </row>
    <row r="806" spans="54:68">
      <c r="BB806" s="794">
        <v>40834</v>
      </c>
      <c r="BC806" s="344" t="str">
        <f t="shared" si="12"/>
        <v>札幌市清田区真栄四条</v>
      </c>
      <c r="BD806" s="56" t="s">
        <v>580</v>
      </c>
      <c r="BE806" s="303" t="s">
        <v>1300</v>
      </c>
      <c r="BF806" s="344"/>
      <c r="BG806" s="344"/>
      <c r="BH806" s="344"/>
      <c r="BI806" s="344"/>
      <c r="BJ806" s="344"/>
      <c r="BK806" s="344"/>
      <c r="BL806" s="344"/>
      <c r="BO806" s="344"/>
      <c r="BP806" s="344"/>
    </row>
    <row r="807" spans="54:68">
      <c r="BB807" s="794">
        <v>40835</v>
      </c>
      <c r="BC807" s="344" t="str">
        <f t="shared" si="12"/>
        <v>札幌市清田区真栄五条</v>
      </c>
      <c r="BD807" s="56" t="s">
        <v>580</v>
      </c>
      <c r="BE807" s="303" t="s">
        <v>1301</v>
      </c>
      <c r="BF807" s="344"/>
      <c r="BG807" s="344"/>
      <c r="BH807" s="344"/>
      <c r="BI807" s="344"/>
      <c r="BJ807" s="344"/>
      <c r="BK807" s="344"/>
      <c r="BL807" s="344"/>
      <c r="BO807" s="344"/>
      <c r="BP807" s="344"/>
    </row>
    <row r="808" spans="54:68">
      <c r="BB808" s="794">
        <v>40836</v>
      </c>
      <c r="BC808" s="344" t="str">
        <f t="shared" si="12"/>
        <v>札幌市清田区真栄六条</v>
      </c>
      <c r="BD808" s="56" t="s">
        <v>580</v>
      </c>
      <c r="BE808" s="303" t="s">
        <v>1302</v>
      </c>
      <c r="BF808" s="344"/>
      <c r="BG808" s="344"/>
      <c r="BH808" s="344"/>
      <c r="BI808" s="344"/>
      <c r="BJ808" s="344"/>
      <c r="BK808" s="344"/>
      <c r="BL808" s="344"/>
      <c r="BO808" s="344"/>
      <c r="BP808" s="344"/>
    </row>
    <row r="809" spans="54:68">
      <c r="BB809" s="794">
        <v>40889</v>
      </c>
      <c r="BC809" s="344" t="str">
        <f t="shared" si="12"/>
        <v>札幌市清田区平岡</v>
      </c>
      <c r="BD809" s="56" t="s">
        <v>580</v>
      </c>
      <c r="BE809" s="303" t="s">
        <v>1303</v>
      </c>
      <c r="BF809" s="344"/>
      <c r="BG809" s="344"/>
      <c r="BH809" s="344"/>
      <c r="BI809" s="344"/>
      <c r="BJ809" s="344"/>
      <c r="BK809" s="344"/>
      <c r="BL809" s="344"/>
      <c r="BO809" s="344"/>
      <c r="BP809" s="344"/>
    </row>
    <row r="810" spans="54:68">
      <c r="BB810" s="794">
        <v>40871</v>
      </c>
      <c r="BC810" s="344" t="str">
        <f t="shared" si="12"/>
        <v>札幌市清田区平岡一条</v>
      </c>
      <c r="BD810" s="56" t="s">
        <v>580</v>
      </c>
      <c r="BE810" s="303" t="s">
        <v>1304</v>
      </c>
      <c r="BF810" s="344"/>
      <c r="BG810" s="344"/>
      <c r="BH810" s="344"/>
      <c r="BI810" s="344"/>
      <c r="BJ810" s="344"/>
      <c r="BK810" s="344"/>
      <c r="BL810" s="344"/>
      <c r="BO810" s="344"/>
      <c r="BP810" s="344"/>
    </row>
    <row r="811" spans="54:68">
      <c r="BB811" s="794">
        <v>40872</v>
      </c>
      <c r="BC811" s="344" t="str">
        <f t="shared" si="12"/>
        <v>札幌市清田区平岡二条</v>
      </c>
      <c r="BD811" s="56" t="s">
        <v>580</v>
      </c>
      <c r="BE811" s="303" t="s">
        <v>1305</v>
      </c>
      <c r="BF811" s="344"/>
      <c r="BG811" s="344"/>
      <c r="BH811" s="344"/>
      <c r="BI811" s="344"/>
      <c r="BJ811" s="344"/>
      <c r="BK811" s="344"/>
      <c r="BL811" s="344"/>
      <c r="BO811" s="344"/>
      <c r="BP811" s="344"/>
    </row>
    <row r="812" spans="54:68">
      <c r="BB812" s="794">
        <v>40873</v>
      </c>
      <c r="BC812" s="344" t="str">
        <f t="shared" si="12"/>
        <v>札幌市清田区平岡三条</v>
      </c>
      <c r="BD812" s="56" t="s">
        <v>580</v>
      </c>
      <c r="BE812" s="303" t="s">
        <v>1306</v>
      </c>
      <c r="BF812" s="344"/>
      <c r="BG812" s="344"/>
      <c r="BH812" s="344"/>
      <c r="BI812" s="344"/>
      <c r="BJ812" s="344"/>
      <c r="BK812" s="344"/>
      <c r="BL812" s="344"/>
      <c r="BO812" s="344"/>
      <c r="BP812" s="344"/>
    </row>
    <row r="813" spans="54:68">
      <c r="BB813" s="794">
        <v>40874</v>
      </c>
      <c r="BC813" s="344" t="str">
        <f t="shared" si="12"/>
        <v>札幌市清田区平岡四条</v>
      </c>
      <c r="BD813" s="56" t="s">
        <v>580</v>
      </c>
      <c r="BE813" s="303" t="s">
        <v>1307</v>
      </c>
      <c r="BF813" s="344"/>
      <c r="BG813" s="344"/>
      <c r="BH813" s="344"/>
      <c r="BI813" s="344"/>
      <c r="BJ813" s="344"/>
      <c r="BK813" s="344"/>
      <c r="BL813" s="344"/>
      <c r="BO813" s="344"/>
      <c r="BP813" s="344"/>
    </row>
    <row r="814" spans="54:68">
      <c r="BB814" s="794">
        <v>40875</v>
      </c>
      <c r="BC814" s="344" t="str">
        <f t="shared" si="12"/>
        <v>札幌市清田区平岡五条</v>
      </c>
      <c r="BD814" s="56" t="s">
        <v>580</v>
      </c>
      <c r="BE814" s="303" t="s">
        <v>1308</v>
      </c>
      <c r="BF814" s="344"/>
      <c r="BG814" s="344"/>
      <c r="BH814" s="344"/>
      <c r="BI814" s="344"/>
      <c r="BJ814" s="344"/>
      <c r="BK814" s="344"/>
      <c r="BL814" s="344"/>
      <c r="BO814" s="344"/>
      <c r="BP814" s="344"/>
    </row>
    <row r="815" spans="54:68">
      <c r="BB815" s="794">
        <v>40876</v>
      </c>
      <c r="BC815" s="344" t="str">
        <f t="shared" si="12"/>
        <v>札幌市清田区平岡六条</v>
      </c>
      <c r="BD815" s="56" t="s">
        <v>580</v>
      </c>
      <c r="BE815" s="303" t="s">
        <v>1309</v>
      </c>
      <c r="BF815" s="344"/>
      <c r="BG815" s="344"/>
      <c r="BH815" s="344"/>
      <c r="BI815" s="344"/>
      <c r="BJ815" s="344"/>
      <c r="BK815" s="344"/>
      <c r="BL815" s="344"/>
      <c r="BO815" s="344"/>
      <c r="BP815" s="344"/>
    </row>
    <row r="816" spans="54:68">
      <c r="BB816" s="794">
        <v>40877</v>
      </c>
      <c r="BC816" s="344" t="str">
        <f t="shared" si="12"/>
        <v>札幌市清田区平岡七条</v>
      </c>
      <c r="BD816" s="56" t="s">
        <v>580</v>
      </c>
      <c r="BE816" s="303" t="s">
        <v>1310</v>
      </c>
      <c r="BF816" s="344"/>
      <c r="BG816" s="344"/>
      <c r="BH816" s="344"/>
      <c r="BI816" s="344"/>
      <c r="BJ816" s="344"/>
      <c r="BK816" s="344"/>
      <c r="BL816" s="344"/>
      <c r="BO816" s="344"/>
      <c r="BP816" s="344"/>
    </row>
    <row r="817" spans="54:68">
      <c r="BB817" s="794">
        <v>40878</v>
      </c>
      <c r="BC817" s="344" t="str">
        <f t="shared" si="12"/>
        <v>札幌市清田区平岡八条</v>
      </c>
      <c r="BD817" s="56" t="s">
        <v>580</v>
      </c>
      <c r="BE817" s="303" t="s">
        <v>1311</v>
      </c>
      <c r="BF817" s="344"/>
      <c r="BG817" s="344"/>
      <c r="BH817" s="344"/>
      <c r="BI817" s="344"/>
      <c r="BJ817" s="344"/>
      <c r="BK817" s="344"/>
      <c r="BL817" s="344"/>
      <c r="BO817" s="344"/>
      <c r="BP817" s="344"/>
    </row>
    <row r="818" spans="54:68">
      <c r="BB818" s="794">
        <v>40879</v>
      </c>
      <c r="BC818" s="344" t="str">
        <f t="shared" si="12"/>
        <v>札幌市清田区平岡九条</v>
      </c>
      <c r="BD818" s="56" t="s">
        <v>580</v>
      </c>
      <c r="BE818" s="303" t="s">
        <v>1312</v>
      </c>
      <c r="BF818" s="344"/>
      <c r="BG818" s="344"/>
      <c r="BH818" s="344"/>
      <c r="BI818" s="344"/>
      <c r="BJ818" s="344"/>
      <c r="BK818" s="344"/>
      <c r="BL818" s="344"/>
      <c r="BO818" s="344"/>
      <c r="BP818" s="344"/>
    </row>
    <row r="819" spans="54:68">
      <c r="BB819" s="794">
        <v>40880</v>
      </c>
      <c r="BC819" s="344" t="str">
        <f t="shared" si="12"/>
        <v>札幌市清田区平岡十条</v>
      </c>
      <c r="BD819" s="56" t="s">
        <v>580</v>
      </c>
      <c r="BE819" s="303" t="s">
        <v>1313</v>
      </c>
      <c r="BF819" s="344"/>
      <c r="BG819" s="344"/>
      <c r="BH819" s="344"/>
      <c r="BI819" s="344"/>
      <c r="BJ819" s="344"/>
      <c r="BK819" s="344"/>
      <c r="BL819" s="344"/>
      <c r="BO819" s="344"/>
      <c r="BP819" s="344"/>
    </row>
    <row r="820" spans="54:68">
      <c r="BB820" s="794">
        <v>40881</v>
      </c>
      <c r="BC820" s="344" t="str">
        <f t="shared" si="12"/>
        <v>札幌市清田区平岡公園</v>
      </c>
      <c r="BD820" s="56" t="s">
        <v>580</v>
      </c>
      <c r="BE820" s="303" t="s">
        <v>1314</v>
      </c>
      <c r="BF820" s="344"/>
      <c r="BG820" s="344"/>
      <c r="BH820" s="344"/>
      <c r="BI820" s="344"/>
      <c r="BJ820" s="344"/>
      <c r="BK820" s="344"/>
      <c r="BL820" s="344"/>
      <c r="BO820" s="344"/>
      <c r="BP820" s="344"/>
    </row>
    <row r="821" spans="54:68">
      <c r="BB821" s="794">
        <v>40882</v>
      </c>
      <c r="BC821" s="344" t="str">
        <f t="shared" si="12"/>
        <v>札幌市清田区平岡公園東</v>
      </c>
      <c r="BD821" s="56" t="s">
        <v>580</v>
      </c>
      <c r="BE821" s="303" t="s">
        <v>1315</v>
      </c>
      <c r="BF821" s="344"/>
      <c r="BG821" s="344"/>
      <c r="BH821" s="344"/>
      <c r="BI821" s="344"/>
      <c r="BJ821" s="344"/>
      <c r="BK821" s="344"/>
      <c r="BL821" s="344"/>
      <c r="BO821" s="344"/>
      <c r="BP821" s="344"/>
    </row>
    <row r="822" spans="54:68">
      <c r="BC822" s="768"/>
    </row>
  </sheetData>
  <sheetProtection algorithmName="SHA-512" hashValue="tTNQTEcpw1GXg07T8ZYNKLEC3xt0evP6fG6w7TavAJZNAW7d+Mhu/m+kMeWy/9QvFY2q/+0XtPOl5QPCQ0Rknw==" saltValue="uSBLGBZW/Xnll6CLr2e53g==" spinCount="100000" sheet="1" selectLockedCells="1"/>
  <dataConsolidate/>
  <mergeCells count="232">
    <mergeCell ref="A18:A19"/>
    <mergeCell ref="Q18:V19"/>
    <mergeCell ref="B18:D19"/>
    <mergeCell ref="N18:O18"/>
    <mergeCell ref="K18:M18"/>
    <mergeCell ref="K19:M19"/>
    <mergeCell ref="E18:F19"/>
    <mergeCell ref="E16:E17"/>
    <mergeCell ref="G18:J18"/>
    <mergeCell ref="K16:K17"/>
    <mergeCell ref="J16:J17"/>
    <mergeCell ref="N19:O19"/>
    <mergeCell ref="U34:W34"/>
    <mergeCell ref="A34:B34"/>
    <mergeCell ref="U35:W36"/>
    <mergeCell ref="A20:A30"/>
    <mergeCell ref="C21:N21"/>
    <mergeCell ref="C22:N22"/>
    <mergeCell ref="O20:Z30"/>
    <mergeCell ref="C25:N25"/>
    <mergeCell ref="A33:B33"/>
    <mergeCell ref="R33:Z33"/>
    <mergeCell ref="X35:Z36"/>
    <mergeCell ref="C20:F20"/>
    <mergeCell ref="C26:N26"/>
    <mergeCell ref="F27:M27"/>
    <mergeCell ref="X34:Z34"/>
    <mergeCell ref="A35:Q35"/>
    <mergeCell ref="A36:Q36"/>
    <mergeCell ref="R34:T34"/>
    <mergeCell ref="C27:E27"/>
    <mergeCell ref="C33:Q33"/>
    <mergeCell ref="B28:N30"/>
    <mergeCell ref="C24:N24"/>
    <mergeCell ref="G20:N20"/>
    <mergeCell ref="C23:N23"/>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R32:S32"/>
    <mergeCell ref="A12:A17"/>
    <mergeCell ref="A32:Q32"/>
    <mergeCell ref="G19:J19"/>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R35:T36"/>
    <mergeCell ref="Q13:R13"/>
    <mergeCell ref="Y13:Z13"/>
    <mergeCell ref="C34:Q34"/>
    <mergeCell ref="AA1:AZ1"/>
    <mergeCell ref="AA2:AC2"/>
    <mergeCell ref="AD2:AZ2"/>
    <mergeCell ref="AA3:AA4"/>
    <mergeCell ref="AB3:AC3"/>
    <mergeCell ref="A1:Z1"/>
    <mergeCell ref="D5:M5"/>
    <mergeCell ref="AD3:AZ3"/>
    <mergeCell ref="AB4:AC4"/>
    <mergeCell ref="AD4:AZ4"/>
    <mergeCell ref="B5:C5"/>
    <mergeCell ref="A3:A4"/>
    <mergeCell ref="B4:C4"/>
    <mergeCell ref="A5:A11"/>
    <mergeCell ref="E7:K7"/>
    <mergeCell ref="B3:C3"/>
    <mergeCell ref="D3:Z3"/>
    <mergeCell ref="D4:Z4"/>
    <mergeCell ref="Y10:Z10"/>
    <mergeCell ref="E8:O8"/>
    <mergeCell ref="L7:Z7"/>
    <mergeCell ref="P8:Q8"/>
    <mergeCell ref="R8:Z8"/>
    <mergeCell ref="AA5:AA11"/>
    <mergeCell ref="B12:G13"/>
    <mergeCell ref="H14:H15"/>
    <mergeCell ref="E14:E15"/>
    <mergeCell ref="F14:G15"/>
    <mergeCell ref="C14:D15"/>
    <mergeCell ref="V13:X13"/>
    <mergeCell ref="S13:T13"/>
    <mergeCell ref="F16:G17"/>
    <mergeCell ref="X17:Y17"/>
    <mergeCell ref="C16:D17"/>
    <mergeCell ref="V12:Z12"/>
    <mergeCell ref="W19:Z19"/>
    <mergeCell ref="W18:Z18"/>
    <mergeCell ref="D9:N9"/>
    <mergeCell ref="D10:N10"/>
    <mergeCell ref="AQ5:AR5"/>
    <mergeCell ref="AY10:AZ10"/>
    <mergeCell ref="AB9:AC9"/>
    <mergeCell ref="AS5:AZ5"/>
    <mergeCell ref="AB6:AC6"/>
    <mergeCell ref="AD6:AM6"/>
    <mergeCell ref="AO9:AP9"/>
    <mergeCell ref="AQ9:AR9"/>
    <mergeCell ref="AB7:AC8"/>
    <mergeCell ref="AB10:AC10"/>
    <mergeCell ref="AY9:AZ9"/>
    <mergeCell ref="AE7:AK7"/>
    <mergeCell ref="AL7:AZ7"/>
    <mergeCell ref="AE8:AO8"/>
    <mergeCell ref="AP8:AQ8"/>
    <mergeCell ref="AR8:AZ8"/>
    <mergeCell ref="AD9:AN9"/>
    <mergeCell ref="AD10:AN10"/>
    <mergeCell ref="AQ18:AV19"/>
    <mergeCell ref="AB16:AB17"/>
    <mergeCell ref="AB5:AC5"/>
    <mergeCell ref="AD5:AM5"/>
    <mergeCell ref="AN5:AP6"/>
    <mergeCell ref="AD11:AZ11"/>
    <mergeCell ref="AB11:AC11"/>
    <mergeCell ref="AS13:AT13"/>
    <mergeCell ref="AV13:AX13"/>
    <mergeCell ref="AB14:AB15"/>
    <mergeCell ref="AE14:AE15"/>
    <mergeCell ref="AH12:AK13"/>
    <mergeCell ref="AV14:AZ16"/>
    <mergeCell ref="AY13:AZ13"/>
    <mergeCell ref="AJ14:AJ15"/>
    <mergeCell ref="AC14:AD15"/>
    <mergeCell ref="AO13:AP13"/>
    <mergeCell ref="AL13:AN13"/>
    <mergeCell ref="AB12:AG13"/>
    <mergeCell ref="AQ6:AR6"/>
    <mergeCell ref="AS6:AZ6"/>
    <mergeCell ref="AQ14:AU16"/>
    <mergeCell ref="AQ13:AR13"/>
    <mergeCell ref="AE16:AE17"/>
    <mergeCell ref="AC16:AD17"/>
    <mergeCell ref="AF16:AG17"/>
    <mergeCell ref="AH16:AH17"/>
    <mergeCell ref="BQ204:BQ205"/>
    <mergeCell ref="AG20:AN20"/>
    <mergeCell ref="AI16:AI17"/>
    <mergeCell ref="AJ16:AJ17"/>
    <mergeCell ref="AK16:AK17"/>
    <mergeCell ref="AB18:AD19"/>
    <mergeCell ref="AM17:AS17"/>
    <mergeCell ref="BG154:BG174"/>
    <mergeCell ref="BG175:BG204"/>
    <mergeCell ref="BG53:BG68"/>
    <mergeCell ref="BG69:BG83"/>
    <mergeCell ref="BG84:BG111"/>
    <mergeCell ref="BG112:BG133"/>
    <mergeCell ref="BG134:BG153"/>
    <mergeCell ref="AC20:AF20"/>
    <mergeCell ref="AX17:AY17"/>
    <mergeCell ref="BT204:BT205"/>
    <mergeCell ref="BU204:BU205"/>
    <mergeCell ref="AL12:AU12"/>
    <mergeCell ref="AV12:AZ12"/>
    <mergeCell ref="AK14:AK15"/>
    <mergeCell ref="AN19:AO19"/>
    <mergeCell ref="AL14:AP16"/>
    <mergeCell ref="AA31:AZ31"/>
    <mergeCell ref="AC23:AN23"/>
    <mergeCell ref="AA20:AA30"/>
    <mergeCell ref="AC24:AN24"/>
    <mergeCell ref="AC27:AE27"/>
    <mergeCell ref="AC26:AN26"/>
    <mergeCell ref="AE18:AF19"/>
    <mergeCell ref="AG18:AJ18"/>
    <mergeCell ref="AK18:AM18"/>
    <mergeCell ref="AN18:AO18"/>
    <mergeCell ref="AX19:AZ19"/>
    <mergeCell ref="AX18:AZ18"/>
    <mergeCell ref="AC25:AN25"/>
    <mergeCell ref="AG19:AJ19"/>
    <mergeCell ref="AK19:AM19"/>
    <mergeCell ref="AB28:AN30"/>
    <mergeCell ref="AT17:AU17"/>
    <mergeCell ref="BV204:BV205"/>
    <mergeCell ref="AA18:AA19"/>
    <mergeCell ref="AA35:AQ35"/>
    <mergeCell ref="AU35:AW36"/>
    <mergeCell ref="AX35:AZ36"/>
    <mergeCell ref="AA36:AQ36"/>
    <mergeCell ref="AR34:AT34"/>
    <mergeCell ref="AF27:AM27"/>
    <mergeCell ref="AR35:AT36"/>
    <mergeCell ref="AA34:AB34"/>
    <mergeCell ref="AC34:AQ34"/>
    <mergeCell ref="AU34:AW34"/>
    <mergeCell ref="AO20:AZ30"/>
    <mergeCell ref="AC21:AN21"/>
    <mergeCell ref="AC22:AN22"/>
    <mergeCell ref="AX34:AZ34"/>
    <mergeCell ref="AA33:AB33"/>
    <mergeCell ref="AC33:AQ33"/>
    <mergeCell ref="AR33:AZ33"/>
    <mergeCell ref="AA32:AQ32"/>
    <mergeCell ref="AR32:AS32"/>
    <mergeCell ref="AU32:AV32"/>
    <mergeCell ref="AX32:AY32"/>
    <mergeCell ref="BS204:BS205"/>
  </mergeCells>
  <phoneticPr fontId="8"/>
  <conditionalFormatting sqref="E8 P8 D9:D11">
    <cfRule type="cellIs" priority="60" stopIfTrue="1" operator="equal">
      <formula>""</formula>
    </cfRule>
  </conditionalFormatting>
  <conditionalFormatting sqref="E8 P8 D9:D11">
    <cfRule type="cellIs" dxfId="648" priority="59" stopIfTrue="1" operator="equal">
      <formula>""</formula>
    </cfRule>
  </conditionalFormatting>
  <conditionalFormatting sqref="B18:D19 N18:O19 R32:S32 U32:V32 X32:Y32">
    <cfRule type="cellIs" dxfId="647" priority="58" stopIfTrue="1" operator="equal">
      <formula>""</formula>
    </cfRule>
  </conditionalFormatting>
  <conditionalFormatting sqref="C14:D15 F14:G15 J14:J15">
    <cfRule type="cellIs" priority="52" stopIfTrue="1" operator="equal">
      <formula>""</formula>
    </cfRule>
  </conditionalFormatting>
  <conditionalFormatting sqref="C14:D15 F14:G15 J14:J15">
    <cfRule type="cellIs" dxfId="646" priority="51" stopIfTrue="1" operator="equal">
      <formula>""</formula>
    </cfRule>
  </conditionalFormatting>
  <conditionalFormatting sqref="C16:D17">
    <cfRule type="cellIs" priority="48" stopIfTrue="1" operator="equal">
      <formula>""</formula>
    </cfRule>
  </conditionalFormatting>
  <conditionalFormatting sqref="C16:D17">
    <cfRule type="cellIs" dxfId="645" priority="47" stopIfTrue="1" operator="equal">
      <formula>""</formula>
    </cfRule>
  </conditionalFormatting>
  <conditionalFormatting sqref="F16:G17">
    <cfRule type="cellIs" priority="46" stopIfTrue="1" operator="equal">
      <formula>""</formula>
    </cfRule>
  </conditionalFormatting>
  <conditionalFormatting sqref="F16:G17">
    <cfRule type="cellIs" dxfId="644" priority="45" stopIfTrue="1" operator="equal">
      <formula>""</formula>
    </cfRule>
  </conditionalFormatting>
  <conditionalFormatting sqref="J16:J17">
    <cfRule type="cellIs" priority="44" stopIfTrue="1" operator="equal">
      <formula>""</formula>
    </cfRule>
  </conditionalFormatting>
  <conditionalFormatting sqref="J16:J17">
    <cfRule type="cellIs" dxfId="643" priority="43" stopIfTrue="1" operator="equal">
      <formula>""</formula>
    </cfRule>
  </conditionalFormatting>
  <conditionalFormatting sqref="B12:G13">
    <cfRule type="containsBlanks" dxfId="642" priority="42" stopIfTrue="1">
      <formula>LEN(TRIM(B12))=0</formula>
    </cfRule>
  </conditionalFormatting>
  <conditionalFormatting sqref="Q13 V13">
    <cfRule type="containsBlanks" dxfId="641" priority="62" stopIfTrue="1">
      <formula>LEN(TRIM(Q13))=0</formula>
    </cfRule>
  </conditionalFormatting>
  <conditionalFormatting sqref="E7:K7">
    <cfRule type="containsBlanks" dxfId="640" priority="40" stopIfTrue="1">
      <formula>LEN(TRIM(E7))=0</formula>
    </cfRule>
  </conditionalFormatting>
  <conditionalFormatting sqref="R8:Z8">
    <cfRule type="containsBlanks" dxfId="639" priority="39" stopIfTrue="1">
      <formula>LEN(TRIM(R8))=0</formula>
    </cfRule>
  </conditionalFormatting>
  <conditionalFormatting sqref="G20:N20">
    <cfRule type="expression" dxfId="638" priority="38" stopIfTrue="1">
      <formula>$AN$20=TRUE</formula>
    </cfRule>
  </conditionalFormatting>
  <conditionalFormatting sqref="L13:N13">
    <cfRule type="containsBlanks" dxfId="637" priority="31">
      <formula>LEN(TRIM(L13))=0</formula>
    </cfRule>
  </conditionalFormatting>
  <conditionalFormatting sqref="T17:U17 X17:Y17">
    <cfRule type="containsBlanks" dxfId="636" priority="26">
      <formula>LEN(TRIM(T17))=0</formula>
    </cfRule>
  </conditionalFormatting>
  <conditionalFormatting sqref="D4:Z4">
    <cfRule type="cellIs" dxfId="635" priority="23" stopIfTrue="1" operator="equal">
      <formula>""</formula>
    </cfRule>
  </conditionalFormatting>
  <conditionalFormatting sqref="D3:Z3">
    <cfRule type="cellIs" dxfId="634" priority="22" stopIfTrue="1" operator="equal">
      <formula>""</formula>
    </cfRule>
  </conditionalFormatting>
  <conditionalFormatting sqref="D5:M6">
    <cfRule type="cellIs" priority="21" stopIfTrue="1" operator="equal">
      <formula>""</formula>
    </cfRule>
  </conditionalFormatting>
  <conditionalFormatting sqref="D5:M6">
    <cfRule type="cellIs" dxfId="633" priority="20" stopIfTrue="1" operator="equal">
      <formula>""</formula>
    </cfRule>
  </conditionalFormatting>
  <conditionalFormatting sqref="S5:Z6">
    <cfRule type="cellIs" priority="19" stopIfTrue="1" operator="equal">
      <formula>""</formula>
    </cfRule>
  </conditionalFormatting>
  <conditionalFormatting sqref="S5:Z6">
    <cfRule type="cellIs" dxfId="632" priority="18" stopIfTrue="1" operator="equal">
      <formula>""</formula>
    </cfRule>
  </conditionalFormatting>
  <conditionalFormatting sqref="AE8 AP8">
    <cfRule type="cellIs" priority="17" stopIfTrue="1" operator="equal">
      <formula>""</formula>
    </cfRule>
  </conditionalFormatting>
  <conditionalFormatting sqref="AE8 AP8">
    <cfRule type="cellIs" dxfId="631" priority="16" stopIfTrue="1" operator="equal">
      <formula>""</formula>
    </cfRule>
  </conditionalFormatting>
  <conditionalFormatting sqref="AE7:AK7">
    <cfRule type="containsBlanks" dxfId="630" priority="15" stopIfTrue="1">
      <formula>LEN(TRIM(AE7))=0</formula>
    </cfRule>
  </conditionalFormatting>
  <conditionalFormatting sqref="AR8:AZ8">
    <cfRule type="containsBlanks" dxfId="629" priority="14" stopIfTrue="1">
      <formula>LEN(TRIM(AR8))=0</formula>
    </cfRule>
  </conditionalFormatting>
  <conditionalFormatting sqref="AD9:AD10">
    <cfRule type="cellIs" priority="13" stopIfTrue="1" operator="equal">
      <formula>""</formula>
    </cfRule>
  </conditionalFormatting>
  <conditionalFormatting sqref="AD9:AD10">
    <cfRule type="cellIs" dxfId="628" priority="12" stopIfTrue="1" operator="equal">
      <formula>""</formula>
    </cfRule>
  </conditionalFormatting>
  <conditionalFormatting sqref="AQ13">
    <cfRule type="containsBlanks" dxfId="627" priority="11" stopIfTrue="1">
      <formula>LEN(TRIM(AQ13))=0</formula>
    </cfRule>
  </conditionalFormatting>
  <conditionalFormatting sqref="AL13:AN13">
    <cfRule type="containsBlanks" dxfId="626" priority="10">
      <formula>LEN(TRIM(AL13))=0</formula>
    </cfRule>
  </conditionalFormatting>
  <conditionalFormatting sqref="AV13">
    <cfRule type="containsBlanks" dxfId="625" priority="7" stopIfTrue="1">
      <formula>LEN(TRIM(AV13))=0</formula>
    </cfRule>
  </conditionalFormatting>
  <conditionalFormatting sqref="AT17:AU17">
    <cfRule type="containsBlanks" dxfId="624" priority="6">
      <formula>LEN(TRIM(AT17))=0</formula>
    </cfRule>
  </conditionalFormatting>
  <conditionalFormatting sqref="AX17:AY17">
    <cfRule type="containsBlanks" dxfId="623" priority="5">
      <formula>LEN(TRIM(AX17))=0</formula>
    </cfRule>
  </conditionalFormatting>
  <conditionalFormatting sqref="AG20:AN20">
    <cfRule type="expression" dxfId="622" priority="4" stopIfTrue="1">
      <formula>$AN$20=TRUE</formula>
    </cfRule>
  </conditionalFormatting>
  <conditionalFormatting sqref="W18:Z18">
    <cfRule type="expression" dxfId="621" priority="223">
      <formula>$X$38=TRUE</formula>
    </cfRule>
  </conditionalFormatting>
  <conditionalFormatting sqref="V14:Z16">
    <cfRule type="expression" dxfId="620" priority="224">
      <formula>$R$40=TRUE</formula>
    </cfRule>
  </conditionalFormatting>
  <conditionalFormatting sqref="Q14:U16">
    <cfRule type="expression" dxfId="619" priority="225">
      <formula>$S$40=TRUE</formula>
    </cfRule>
  </conditionalFormatting>
  <conditionalFormatting sqref="L14:P16">
    <cfRule type="expression" dxfId="618" priority="226">
      <formula>$T$40=TRUE</formula>
    </cfRule>
  </conditionalFormatting>
  <conditionalFormatting sqref="L17:S17">
    <cfRule type="expression" dxfId="617" priority="227">
      <formula>$U$40=TRUE</formula>
    </cfRule>
  </conditionalFormatting>
  <conditionalFormatting sqref="AV14:AZ16">
    <cfRule type="expression" dxfId="616" priority="1">
      <formula>$R$40=TRUE</formula>
    </cfRule>
  </conditionalFormatting>
  <conditionalFormatting sqref="AQ14:AU16">
    <cfRule type="expression" dxfId="615" priority="2">
      <formula>$S$40=TRUE</formula>
    </cfRule>
  </conditionalFormatting>
  <conditionalFormatting sqref="AL14:AP16">
    <cfRule type="expression" dxfId="614" priority="3">
      <formula>$T$40=TRUE</formula>
    </cfRule>
  </conditionalFormatting>
  <dataValidations count="11">
    <dataValidation type="list" allowBlank="1" showInputMessage="1" showErrorMessage="1" sqref="L13:N13 Q13:R13 V13:X13 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AV13:AX13" xr:uid="{00000000-0002-0000-0100-000003000000}">
      <formula1>$BA$1</formula1>
    </dataValidation>
    <dataValidation type="list" allowBlank="1" showInputMessage="1" showErrorMessage="1" sqref="T17:U17 AT17:AU17" xr:uid="{00000000-0002-0000-0100-000004000000}">
      <formula1>$BA$10:$BA$13</formula1>
    </dataValidation>
    <dataValidation type="list" allowBlank="1" showInputMessage="1" showErrorMessage="1" sqref="N18:O18" xr:uid="{00000000-0002-0000-0100-000006000000}">
      <formula1>$BA$1:$BA$17</formula1>
    </dataValidation>
    <dataValidation type="list" allowBlank="1" showInputMessage="1" showErrorMessage="1" sqref="N19:O19" xr:uid="{00000000-0002-0000-0100-000007000000}">
      <formula1>$BA$1:$BA$6</formula1>
    </dataValidation>
    <dataValidation type="list" allowBlank="1" sqref="B12:G13" xr:uid="{00000000-0002-0000-0100-000008000000}">
      <formula1>$BF$1:$BF$2</formula1>
    </dataValidation>
    <dataValidation type="list" allowBlank="1" showInputMessage="1" showErrorMessage="1" sqref="AL13:AN13" xr:uid="{00000000-0002-0000-0100-000009000000}">
      <formula1>$BH$3</formula1>
    </dataValidation>
    <dataValidation type="list" allowBlank="1" showInputMessage="1" showErrorMessage="1" sqref="R32:S32" xr:uid="{00000000-0002-0000-0100-00000A000000}">
      <formula1>$BF$1:$BF$2</formula1>
    </dataValidation>
    <dataValidation type="list" allowBlank="1" showInputMessage="1" showErrorMessage="1" sqref="X17:Y17 AX17:AY17" xr:uid="{00000000-0002-0000-0100-000005000000}">
      <formula1>$BA$13:$BA$17</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Header>&amp;RⅥ-1</oddHeader>
  </headerFooter>
  <colBreaks count="1" manualBreakCount="1">
    <brk id="26" max="38" man="1"/>
  </colBreaks>
  <ignoredErrors>
    <ignoredError sqref="R8 D9"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29" r:id="rId36" name="Check Box 5">
              <controlPr defaultSize="0" autoFill="0" autoLine="0" autoPict="0">
                <anchor moveWithCells="1">
                  <from>
                    <xdr:col>1</xdr:col>
                    <xdr:colOff>38100</xdr:colOff>
                    <xdr:row>21</xdr:row>
                    <xdr:rowOff>28575</xdr:rowOff>
                  </from>
                  <to>
                    <xdr:col>2</xdr:col>
                    <xdr:colOff>57150</xdr:colOff>
                    <xdr:row>21</xdr:row>
                    <xdr:rowOff>247650</xdr:rowOff>
                  </to>
                </anchor>
              </controlPr>
            </control>
          </mc:Choice>
        </mc:AlternateContent>
        <mc:AlternateContent xmlns:mc="http://schemas.openxmlformats.org/markup-compatibility/2006">
          <mc:Choice Requires="x14">
            <control shapeId="1030" r:id="rId37"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8" name="Check Box 7">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2" r:id="rId39" name="Check Box 8">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3" r:id="rId40" name="Check Box 9">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4" r:id="rId41" name="Check Box 10">
              <controlPr defaultSize="0" autoFill="0" autoLine="0" autoPict="0">
                <anchor moveWithCells="1">
                  <from>
                    <xdr:col>1</xdr:col>
                    <xdr:colOff>38100</xdr:colOff>
                    <xdr:row>24</xdr:row>
                    <xdr:rowOff>28575</xdr:rowOff>
                  </from>
                  <to>
                    <xdr:col>2</xdr:col>
                    <xdr:colOff>57150</xdr:colOff>
                    <xdr:row>24</xdr:row>
                    <xdr:rowOff>247650</xdr:rowOff>
                  </to>
                </anchor>
              </controlPr>
            </control>
          </mc:Choice>
        </mc:AlternateContent>
        <mc:AlternateContent xmlns:mc="http://schemas.openxmlformats.org/markup-compatibility/2006">
          <mc:Choice Requires="x14">
            <control shapeId="1035" r:id="rId42" name="Check Box 11">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6" r:id="rId43" name="Check Box 12">
              <controlPr defaultSize="0" autoFill="0" autoLine="0" autoPict="0">
                <anchor moveWithCells="1">
                  <from>
                    <xdr:col>1</xdr:col>
                    <xdr:colOff>38100</xdr:colOff>
                    <xdr:row>26</xdr:row>
                    <xdr:rowOff>19050</xdr:rowOff>
                  </from>
                  <to>
                    <xdr:col>2</xdr:col>
                    <xdr:colOff>57150</xdr:colOff>
                    <xdr:row>26</xdr:row>
                    <xdr:rowOff>247650</xdr:rowOff>
                  </to>
                </anchor>
              </controlPr>
            </control>
          </mc:Choice>
        </mc:AlternateContent>
        <mc:AlternateContent xmlns:mc="http://schemas.openxmlformats.org/markup-compatibility/2006">
          <mc:Choice Requires="x14">
            <control shapeId="1037" r:id="rId44" name="Check Box 13">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46" r:id="rId45"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6"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7"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49" r:id="rId48" name="Check Box 25">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50" r:id="rId49" name="Check Box 26">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1052" r:id="rId50" name="Check Box 28">
              <controlPr defaultSize="0" autoFill="0" autoLine="0" autoPict="0">
                <anchor moveWithCells="1">
                  <from>
                    <xdr:col>27</xdr:col>
                    <xdr:colOff>38100</xdr:colOff>
                    <xdr:row>26</xdr:row>
                    <xdr:rowOff>19050</xdr:rowOff>
                  </from>
                  <to>
                    <xdr:col>28</xdr:col>
                    <xdr:colOff>57150</xdr:colOff>
                    <xdr:row>26</xdr:row>
                    <xdr:rowOff>247650</xdr:rowOff>
                  </to>
                </anchor>
              </controlPr>
            </control>
          </mc:Choice>
        </mc:AlternateContent>
        <mc:AlternateContent xmlns:mc="http://schemas.openxmlformats.org/markup-compatibility/2006">
          <mc:Choice Requires="x14">
            <control shapeId="1053" r:id="rId51" name="Check Box 29">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1062" r:id="rId52"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53"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64" r:id="rId54" name="Check Box 40">
              <controlPr defaultSize="0" autoFill="0" autoLine="0" autoPict="0">
                <anchor moveWithCells="1">
                  <from>
                    <xdr:col>27</xdr:col>
                    <xdr:colOff>38100</xdr:colOff>
                    <xdr:row>21</xdr:row>
                    <xdr:rowOff>28575</xdr:rowOff>
                  </from>
                  <to>
                    <xdr:col>28</xdr:col>
                    <xdr:colOff>57150</xdr:colOff>
                    <xdr:row>21</xdr:row>
                    <xdr:rowOff>247650</xdr:rowOff>
                  </to>
                </anchor>
              </controlPr>
            </control>
          </mc:Choice>
        </mc:AlternateContent>
        <mc:AlternateContent xmlns:mc="http://schemas.openxmlformats.org/markup-compatibility/2006">
          <mc:Choice Requires="x14">
            <control shapeId="1065" r:id="rId55" name="Check Box 41">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66" r:id="rId56" name="Check Box 42">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1067" r:id="rId57" name="Check Box 43">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1070" r:id="rId58"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59"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60"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61"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62"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63"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64"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5" r:id="rId65" name="Check Box 1599">
              <controlPr defaultSize="0" autoFill="0" autoLine="0" autoPict="0">
                <anchor moveWithCells="1">
                  <from>
                    <xdr:col>6</xdr:col>
                    <xdr:colOff>57150</xdr:colOff>
                    <xdr:row>19</xdr:row>
                    <xdr:rowOff>19050</xdr:rowOff>
                  </from>
                  <to>
                    <xdr:col>7</xdr:col>
                    <xdr:colOff>85725</xdr:colOff>
                    <xdr:row>19</xdr:row>
                    <xdr:rowOff>247650</xdr:rowOff>
                  </to>
                </anchor>
              </controlPr>
            </control>
          </mc:Choice>
        </mc:AlternateContent>
        <mc:AlternateContent xmlns:mc="http://schemas.openxmlformats.org/markup-compatibility/2006">
          <mc:Choice Requires="x14">
            <control shapeId="31299" r:id="rId66"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67"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03" r:id="rId68" name="Check Box 1607">
              <controlPr defaultSize="0" autoFill="0" autoLine="0" autoPict="0">
                <anchor moveWithCells="1">
                  <from>
                    <xdr:col>32</xdr:col>
                    <xdr:colOff>28575</xdr:colOff>
                    <xdr:row>19</xdr:row>
                    <xdr:rowOff>38100</xdr:rowOff>
                  </from>
                  <to>
                    <xdr:col>33</xdr:col>
                    <xdr:colOff>47625</xdr:colOff>
                    <xdr:row>19</xdr:row>
                    <xdr:rowOff>266700</xdr:rowOff>
                  </to>
                </anchor>
              </controlPr>
            </control>
          </mc:Choice>
        </mc:AlternateContent>
        <mc:AlternateContent xmlns:mc="http://schemas.openxmlformats.org/markup-compatibility/2006">
          <mc:Choice Requires="x14">
            <control shapeId="31310" r:id="rId69"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CI153"/>
  <sheetViews>
    <sheetView showZeros="0" view="pageBreakPreview" zoomScaleNormal="100" zoomScaleSheetLayoutView="100" workbookViewId="0">
      <selection activeCell="Z15" sqref="Z15"/>
    </sheetView>
  </sheetViews>
  <sheetFormatPr defaultColWidth="1.5" defaultRowHeight="13.5"/>
  <cols>
    <col min="1" max="78" width="1.875" style="821" customWidth="1"/>
    <col min="79" max="82" width="1.625" style="821" customWidth="1"/>
    <col min="83" max="16384" width="1.5" style="821"/>
  </cols>
  <sheetData>
    <row r="1" spans="1:87" s="469" customFormat="1" ht="23.25">
      <c r="A1" s="1426" t="s">
        <v>3082</v>
      </c>
      <c r="B1" s="1426"/>
      <c r="C1" s="1426"/>
      <c r="D1" s="1426"/>
      <c r="E1" s="1426"/>
      <c r="F1" s="1426"/>
      <c r="G1" s="1426"/>
      <c r="H1" s="1426"/>
      <c r="I1" s="1426"/>
      <c r="J1" s="1426"/>
      <c r="K1" s="1426"/>
      <c r="L1" s="1426"/>
      <c r="M1" s="1426"/>
      <c r="N1" s="1426"/>
      <c r="O1" s="1426"/>
      <c r="P1" s="1426"/>
      <c r="Q1" s="1426"/>
      <c r="R1" s="1426"/>
      <c r="S1" s="1426"/>
      <c r="T1" s="1426"/>
      <c r="U1" s="1426"/>
      <c r="V1" s="1426"/>
      <c r="W1" s="1426"/>
      <c r="X1" s="1426"/>
      <c r="Y1" s="1426"/>
      <c r="Z1" s="1426"/>
      <c r="AA1" s="1426"/>
      <c r="AB1" s="1426"/>
      <c r="AC1" s="1426"/>
      <c r="AD1" s="1426"/>
      <c r="AE1" s="1426"/>
      <c r="AF1" s="1426"/>
      <c r="AG1" s="1426"/>
      <c r="AH1" s="1426"/>
      <c r="AI1" s="1426"/>
      <c r="AJ1" s="1426"/>
      <c r="AK1" s="1426"/>
      <c r="AL1" s="1426"/>
      <c r="AM1" s="1426"/>
      <c r="AN1" s="1426"/>
      <c r="AO1" s="1426"/>
      <c r="AP1" s="1426"/>
      <c r="AQ1" s="1426"/>
      <c r="AR1" s="1426"/>
      <c r="AS1" s="1426"/>
      <c r="AT1" s="1426"/>
      <c r="AU1" s="1426"/>
      <c r="AV1" s="1426"/>
      <c r="AW1" s="1426"/>
      <c r="AX1" s="1426"/>
      <c r="AY1" s="1426"/>
      <c r="AZ1" s="1426"/>
      <c r="BA1" s="1426"/>
      <c r="BB1" s="1426"/>
      <c r="BC1" s="1426"/>
      <c r="BD1" s="1426"/>
      <c r="BE1" s="1426"/>
      <c r="BF1" s="1426"/>
      <c r="BG1" s="1426"/>
      <c r="BH1" s="1426"/>
      <c r="BI1" s="1426"/>
      <c r="BJ1" s="1426"/>
      <c r="BK1" s="1426"/>
      <c r="BL1" s="1426"/>
      <c r="BM1" s="1426"/>
      <c r="BN1" s="1426"/>
      <c r="BO1" s="1426"/>
      <c r="BP1" s="1426"/>
      <c r="BQ1" s="1426"/>
      <c r="BR1" s="1426"/>
      <c r="BS1" s="1426"/>
      <c r="BT1" s="1426"/>
      <c r="BU1" s="1426"/>
      <c r="BV1" s="1426"/>
      <c r="BW1" s="1426"/>
      <c r="BX1" s="1426"/>
      <c r="BY1" s="1426"/>
      <c r="BZ1" s="1426"/>
      <c r="CA1" s="818"/>
      <c r="CB1" s="819"/>
      <c r="CC1" s="819"/>
      <c r="CD1" s="819"/>
      <c r="CE1" s="819"/>
      <c r="CF1" s="819"/>
      <c r="CG1" s="819"/>
      <c r="CH1" s="819"/>
      <c r="CI1" s="819"/>
    </row>
    <row r="2" spans="1:87" s="469" customFormat="1" ht="9.9499999999999993" customHeight="1">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8"/>
      <c r="AO2" s="1048"/>
      <c r="AP2" s="1048"/>
      <c r="AQ2" s="1048"/>
      <c r="AR2" s="1048"/>
      <c r="AS2" s="1048"/>
      <c r="AT2" s="1048"/>
      <c r="AW2" s="1048"/>
      <c r="BW2" s="1425" t="s">
        <v>88</v>
      </c>
      <c r="BX2" s="1425"/>
      <c r="BY2" s="1420">
        <v>1</v>
      </c>
      <c r="BZ2" s="1420"/>
      <c r="CA2" s="509"/>
    </row>
    <row r="3" spans="1:87" s="469" customFormat="1" ht="9.9499999999999993" customHeight="1">
      <c r="B3" s="1048"/>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8"/>
      <c r="AE3" s="1048"/>
      <c r="AF3" s="1048"/>
      <c r="AG3" s="1048"/>
      <c r="AH3" s="1048"/>
      <c r="AI3" s="1048"/>
      <c r="AJ3" s="1048"/>
      <c r="AK3" s="1048"/>
      <c r="AL3" s="1048"/>
      <c r="AM3" s="1048"/>
      <c r="AN3" s="1048"/>
      <c r="AO3" s="1048"/>
      <c r="AP3" s="1048"/>
      <c r="AQ3" s="1048"/>
      <c r="AR3" s="1048"/>
      <c r="AS3" s="1048"/>
      <c r="AT3" s="1048"/>
      <c r="AW3" s="1048"/>
      <c r="CA3" s="509"/>
    </row>
    <row r="4" spans="1:87" s="469" customFormat="1" ht="12" customHeight="1">
      <c r="A4" s="1421" t="s">
        <v>87</v>
      </c>
      <c r="B4" s="1421"/>
      <c r="C4" s="1421"/>
      <c r="D4" s="1421"/>
      <c r="E4" s="1421"/>
      <c r="F4" s="1421"/>
      <c r="G4" s="1421"/>
      <c r="H4" s="1423" t="str">
        <f>CONCATENATE('[1]01 使用承認申請書'!D4)</f>
        <v/>
      </c>
      <c r="I4" s="1423"/>
      <c r="J4" s="1423"/>
      <c r="K4" s="1423"/>
      <c r="L4" s="1423"/>
      <c r="M4" s="1423"/>
      <c r="N4" s="1423"/>
      <c r="O4" s="1423"/>
      <c r="P4" s="1423"/>
      <c r="Q4" s="1423"/>
      <c r="R4" s="1423"/>
      <c r="S4" s="1423"/>
      <c r="T4" s="1423"/>
      <c r="U4" s="1423"/>
      <c r="V4" s="1423"/>
      <c r="W4" s="1423"/>
      <c r="X4" s="1421" t="s">
        <v>86</v>
      </c>
      <c r="Y4" s="1421"/>
      <c r="Z4" s="1421"/>
      <c r="AA4" s="1421"/>
      <c r="AB4" s="1421"/>
      <c r="AC4" s="1421"/>
      <c r="AD4" s="1421"/>
      <c r="AE4" s="1427" t="str">
        <f>CONCATENATE('[1]01 使用承認申請書'!B12)</f>
        <v/>
      </c>
      <c r="AF4" s="1427"/>
      <c r="AG4" s="1427"/>
      <c r="AH4" s="1427"/>
      <c r="AI4" s="1425" t="s">
        <v>18</v>
      </c>
      <c r="AJ4" s="1425"/>
      <c r="AK4" s="1427" t="str">
        <f>CONCATENATE('[1]01 使用承認申請書'!C14)</f>
        <v/>
      </c>
      <c r="AL4" s="1427"/>
      <c r="AM4" s="1425" t="s">
        <v>17</v>
      </c>
      <c r="AN4" s="1425"/>
      <c r="AO4" s="1427" t="str">
        <f>CONCATENATE('[1]01 使用承認申請書'!F14)</f>
        <v/>
      </c>
      <c r="AP4" s="1427"/>
      <c r="AQ4" s="1425" t="s">
        <v>16</v>
      </c>
      <c r="AR4" s="1425"/>
      <c r="AS4" s="1425" t="s">
        <v>43</v>
      </c>
      <c r="AT4" s="1425"/>
      <c r="AU4" s="1427" t="str">
        <f>CONCATENATE('[1]01 使用承認申請書'!J14)</f>
        <v/>
      </c>
      <c r="AV4" s="1427"/>
      <c r="AW4" s="1425" t="s">
        <v>42</v>
      </c>
      <c r="AX4" s="1425"/>
      <c r="AY4" s="1425" t="s">
        <v>40</v>
      </c>
      <c r="AZ4" s="1425"/>
      <c r="BA4" s="1427" t="str">
        <f>CONCATENATE('[1]01 使用承認申請書'!C16)</f>
        <v/>
      </c>
      <c r="BB4" s="1427"/>
      <c r="BC4" s="1425" t="s">
        <v>17</v>
      </c>
      <c r="BD4" s="1425"/>
      <c r="BE4" s="1427" t="str">
        <f>CONCATENATE('[1]01 使用承認申請書'!F16)</f>
        <v/>
      </c>
      <c r="BF4" s="1427"/>
      <c r="BG4" s="1425" t="s">
        <v>16</v>
      </c>
      <c r="BH4" s="1425"/>
      <c r="BI4" s="1425" t="s">
        <v>43</v>
      </c>
      <c r="BJ4" s="1425"/>
      <c r="BK4" s="1427" t="str">
        <f>CONCATENATE('[1]01 使用承認申請書'!J16)</f>
        <v/>
      </c>
      <c r="BL4" s="1427"/>
      <c r="BM4" s="1425" t="s">
        <v>42</v>
      </c>
      <c r="BN4" s="1425"/>
      <c r="BO4" s="1425"/>
      <c r="BP4" s="1429"/>
      <c r="BQ4" s="1425"/>
      <c r="BR4" s="1425"/>
      <c r="BS4" s="1431" t="str">
        <f>CONCATENATE('[1]01 使用承認申請書'!L13)</f>
        <v/>
      </c>
      <c r="BT4" s="1431"/>
      <c r="BU4" s="1425" t="s">
        <v>51</v>
      </c>
      <c r="BV4" s="1425"/>
      <c r="BW4" s="1431" t="str">
        <f>CONCATENATE('[1]01 使用承認申請書'!Q13)</f>
        <v/>
      </c>
      <c r="BX4" s="1431"/>
      <c r="BY4" s="1425" t="s">
        <v>16</v>
      </c>
      <c r="BZ4" s="1425"/>
      <c r="CA4" s="509"/>
    </row>
    <row r="5" spans="1:87" s="469" customFormat="1" ht="12" customHeight="1">
      <c r="A5" s="1422"/>
      <c r="B5" s="1422"/>
      <c r="C5" s="1422"/>
      <c r="D5" s="1422"/>
      <c r="E5" s="1422"/>
      <c r="F5" s="1422"/>
      <c r="G5" s="1422"/>
      <c r="H5" s="1424"/>
      <c r="I5" s="1424"/>
      <c r="J5" s="1424"/>
      <c r="K5" s="1424"/>
      <c r="L5" s="1424"/>
      <c r="M5" s="1424"/>
      <c r="N5" s="1424"/>
      <c r="O5" s="1424"/>
      <c r="P5" s="1424"/>
      <c r="Q5" s="1424"/>
      <c r="R5" s="1424"/>
      <c r="S5" s="1424"/>
      <c r="T5" s="1424"/>
      <c r="U5" s="1424"/>
      <c r="V5" s="1424"/>
      <c r="W5" s="1424"/>
      <c r="X5" s="1422"/>
      <c r="Y5" s="1422"/>
      <c r="Z5" s="1422"/>
      <c r="AA5" s="1422"/>
      <c r="AB5" s="1422"/>
      <c r="AC5" s="1422"/>
      <c r="AD5" s="1422"/>
      <c r="AE5" s="1428"/>
      <c r="AF5" s="1428"/>
      <c r="AG5" s="1428"/>
      <c r="AH5" s="1428"/>
      <c r="AI5" s="1420"/>
      <c r="AJ5" s="1420"/>
      <c r="AK5" s="1428"/>
      <c r="AL5" s="1428"/>
      <c r="AM5" s="1420"/>
      <c r="AN5" s="1420"/>
      <c r="AO5" s="1428"/>
      <c r="AP5" s="1428"/>
      <c r="AQ5" s="1420"/>
      <c r="AR5" s="1420"/>
      <c r="AS5" s="1420"/>
      <c r="AT5" s="1420"/>
      <c r="AU5" s="1428"/>
      <c r="AV5" s="1428"/>
      <c r="AW5" s="1420"/>
      <c r="AX5" s="1420"/>
      <c r="AY5" s="1420"/>
      <c r="AZ5" s="1420"/>
      <c r="BA5" s="1428"/>
      <c r="BB5" s="1428"/>
      <c r="BC5" s="1420"/>
      <c r="BD5" s="1420"/>
      <c r="BE5" s="1428"/>
      <c r="BF5" s="1428"/>
      <c r="BG5" s="1420"/>
      <c r="BH5" s="1420"/>
      <c r="BI5" s="1420"/>
      <c r="BJ5" s="1420"/>
      <c r="BK5" s="1428"/>
      <c r="BL5" s="1428"/>
      <c r="BM5" s="1420"/>
      <c r="BN5" s="1420"/>
      <c r="BO5" s="1430"/>
      <c r="BP5" s="1430"/>
      <c r="BQ5" s="1420"/>
      <c r="BR5" s="1420"/>
      <c r="BS5" s="1420" t="s">
        <v>52</v>
      </c>
      <c r="BT5" s="1420"/>
      <c r="BU5" s="1420"/>
      <c r="BV5" s="1420"/>
      <c r="BW5" s="1435" t="str">
        <f>CONCATENATE('[1]01 使用承認申請書'!V13)</f>
        <v/>
      </c>
      <c r="BX5" s="1435"/>
      <c r="BY5" s="1420" t="s">
        <v>16</v>
      </c>
      <c r="BZ5" s="1420"/>
      <c r="CA5" s="509"/>
    </row>
    <row r="6" spans="1:87" s="469" customFormat="1" ht="12" customHeight="1">
      <c r="A6" s="1049"/>
      <c r="B6" s="1049"/>
      <c r="C6" s="1049"/>
      <c r="D6" s="1049"/>
      <c r="E6" s="1049"/>
      <c r="F6" s="1049"/>
      <c r="G6" s="1049"/>
      <c r="H6" s="1050"/>
      <c r="I6" s="1050"/>
      <c r="J6" s="1050"/>
      <c r="K6" s="1050"/>
      <c r="L6" s="1050"/>
      <c r="M6" s="1050"/>
      <c r="N6" s="1050"/>
      <c r="O6" s="1050"/>
      <c r="P6" s="1050"/>
      <c r="Q6" s="1050"/>
      <c r="R6" s="1050"/>
      <c r="S6" s="1050"/>
      <c r="T6" s="1050"/>
      <c r="U6" s="1050"/>
      <c r="V6" s="1050"/>
      <c r="W6" s="1050"/>
      <c r="X6" s="1049"/>
      <c r="Y6" s="1049"/>
      <c r="Z6" s="1049"/>
      <c r="AA6" s="1049"/>
      <c r="AB6" s="1049"/>
      <c r="AC6" s="1049"/>
      <c r="AD6" s="1049"/>
      <c r="AE6" s="925"/>
      <c r="AF6" s="925"/>
      <c r="AG6" s="1051"/>
      <c r="AH6" s="1052"/>
      <c r="AI6" s="924"/>
      <c r="AJ6" s="925"/>
      <c r="AK6" s="1051"/>
      <c r="AL6" s="1051"/>
      <c r="AM6" s="925"/>
      <c r="AN6" s="925"/>
      <c r="AO6" s="1051"/>
      <c r="AP6" s="1051"/>
      <c r="AQ6" s="925"/>
      <c r="AR6" s="925"/>
      <c r="AS6" s="925"/>
      <c r="AT6" s="925"/>
      <c r="AU6" s="1051"/>
      <c r="AV6" s="1051"/>
      <c r="AW6" s="925"/>
      <c r="AX6" s="925"/>
      <c r="AY6" s="925"/>
      <c r="AZ6" s="925"/>
      <c r="BA6" s="1051"/>
      <c r="BB6" s="1051"/>
      <c r="BC6" s="925"/>
      <c r="BD6" s="925"/>
      <c r="BE6" s="1051"/>
      <c r="BF6" s="1051"/>
      <c r="BG6" s="925"/>
      <c r="BH6" s="925"/>
      <c r="BI6" s="925"/>
      <c r="BJ6" s="925"/>
      <c r="BK6" s="1051"/>
      <c r="BL6" s="1051"/>
      <c r="BM6" s="925"/>
      <c r="BN6" s="925"/>
      <c r="BQ6" s="925"/>
      <c r="BR6" s="925"/>
      <c r="BS6" s="925"/>
      <c r="BT6" s="925"/>
      <c r="BU6" s="925"/>
      <c r="BV6" s="925"/>
      <c r="BW6" s="1053"/>
      <c r="BX6" s="1053"/>
      <c r="BY6" s="925"/>
      <c r="BZ6" s="925"/>
      <c r="CA6" s="509"/>
    </row>
    <row r="7" spans="1:87" ht="10.5" customHeight="1">
      <c r="G7" s="1054"/>
      <c r="M7" s="1437">
        <v>0.29166666666666669</v>
      </c>
      <c r="N7" s="1438"/>
      <c r="O7" s="1438"/>
      <c r="P7" s="1438"/>
      <c r="Q7" s="1436" t="s">
        <v>40</v>
      </c>
      <c r="R7" s="1436"/>
      <c r="S7" s="1436"/>
      <c r="T7" s="1437">
        <v>0.35416666666666669</v>
      </c>
      <c r="U7" s="1438"/>
      <c r="V7" s="1438"/>
      <c r="W7" s="1438"/>
      <c r="AF7" s="1437">
        <v>0.47916666666666669</v>
      </c>
      <c r="AG7" s="1438"/>
      <c r="AH7" s="1438"/>
      <c r="AI7" s="1438"/>
      <c r="AJ7" s="1436" t="s">
        <v>40</v>
      </c>
      <c r="AK7" s="1436"/>
      <c r="AL7" s="1436"/>
      <c r="AM7" s="1437">
        <v>6.25E-2</v>
      </c>
      <c r="AN7" s="1438"/>
      <c r="AO7" s="1438"/>
      <c r="AP7" s="1438"/>
      <c r="BA7" s="1437">
        <v>0.20833333333333334</v>
      </c>
      <c r="BB7" s="1438"/>
      <c r="BC7" s="1438"/>
      <c r="BD7" s="1438"/>
      <c r="BE7" s="1436" t="s">
        <v>40</v>
      </c>
      <c r="BF7" s="1436"/>
      <c r="BG7" s="1436"/>
      <c r="BH7" s="1436"/>
      <c r="BI7" s="1437">
        <v>0.29166666666666669</v>
      </c>
      <c r="BJ7" s="1438"/>
      <c r="BK7" s="1438"/>
      <c r="BL7" s="1438"/>
      <c r="CA7" s="820"/>
    </row>
    <row r="8" spans="1:87" ht="10.5" customHeight="1">
      <c r="G8" s="1054"/>
      <c r="O8" s="1439" t="s">
        <v>1837</v>
      </c>
      <c r="P8" s="1442"/>
      <c r="Q8" s="1442"/>
      <c r="R8" s="1442"/>
      <c r="S8" s="1442"/>
      <c r="T8" s="1443"/>
      <c r="U8" s="1054"/>
      <c r="V8" s="1054"/>
      <c r="W8" s="1054"/>
      <c r="X8" s="1054"/>
      <c r="Y8" s="1054"/>
      <c r="Z8" s="1054"/>
      <c r="AA8" s="1054"/>
      <c r="AB8" s="1054"/>
      <c r="AC8" s="1054"/>
      <c r="AD8" s="1054"/>
      <c r="AE8" s="1054"/>
      <c r="AF8" s="1054"/>
      <c r="AG8" s="1054"/>
      <c r="AH8" s="1439" t="s">
        <v>1837</v>
      </c>
      <c r="AI8" s="1440"/>
      <c r="AJ8" s="1440"/>
      <c r="AK8" s="1440"/>
      <c r="AL8" s="1440"/>
      <c r="AM8" s="1440"/>
      <c r="AN8" s="1441"/>
      <c r="AO8" s="1054"/>
      <c r="AP8" s="1054"/>
      <c r="AQ8" s="1054"/>
      <c r="AR8" s="1054"/>
      <c r="AS8" s="1054"/>
      <c r="AT8" s="1054"/>
      <c r="AU8" s="1054"/>
      <c r="AV8" s="1054"/>
      <c r="AW8" s="1054"/>
      <c r="AX8" s="1054"/>
      <c r="AY8" s="1054"/>
      <c r="AZ8" s="1054"/>
      <c r="BA8" s="1054"/>
      <c r="BB8" s="1054"/>
      <c r="BC8" s="1446" t="s">
        <v>1837</v>
      </c>
      <c r="BD8" s="1440"/>
      <c r="BE8" s="1440"/>
      <c r="BF8" s="1440"/>
      <c r="BG8" s="1440"/>
      <c r="BH8" s="1440"/>
      <c r="BI8" s="1440"/>
      <c r="BJ8" s="1441"/>
      <c r="BK8" s="1054"/>
      <c r="BL8" s="1054"/>
      <c r="BM8" s="1054"/>
      <c r="BN8" s="1054"/>
      <c r="BO8" s="1054"/>
      <c r="BP8" s="1054"/>
      <c r="BQ8" s="1054"/>
      <c r="BR8" s="1054"/>
      <c r="BS8" s="1054"/>
      <c r="BT8" s="1054"/>
      <c r="BU8" s="1054"/>
      <c r="BV8" s="1054"/>
      <c r="BW8" s="1054"/>
      <c r="BX8" s="1054"/>
      <c r="BY8" s="1054"/>
      <c r="BZ8" s="1054"/>
      <c r="CA8" s="820"/>
    </row>
    <row r="9" spans="1:87" ht="10.5" customHeight="1">
      <c r="A9" s="1400" t="s">
        <v>84</v>
      </c>
      <c r="B9" s="1400"/>
      <c r="C9" s="1400"/>
      <c r="D9" s="1400" t="s">
        <v>83</v>
      </c>
      <c r="E9" s="1400"/>
      <c r="F9" s="1400"/>
      <c r="G9" s="1054"/>
      <c r="O9" s="1054"/>
      <c r="P9" s="1054"/>
      <c r="Q9" s="1054"/>
      <c r="R9" s="1054"/>
      <c r="S9" s="1054"/>
      <c r="T9" s="1054"/>
      <c r="U9" s="1054"/>
      <c r="V9" s="1054"/>
      <c r="W9" s="1054"/>
      <c r="X9" s="1054"/>
      <c r="Y9" s="1054"/>
      <c r="Z9" s="1054"/>
      <c r="AA9" s="1054"/>
      <c r="AB9" s="1054"/>
      <c r="AC9" s="1054"/>
      <c r="AD9" s="1054"/>
      <c r="AE9" s="1054"/>
      <c r="AF9" s="1054"/>
      <c r="AG9" s="1054"/>
      <c r="AH9" s="1055"/>
      <c r="AI9" s="1401" t="s">
        <v>3083</v>
      </c>
      <c r="AJ9" s="1401"/>
      <c r="AK9" s="1401"/>
      <c r="AL9" s="1401"/>
      <c r="AM9" s="1401"/>
      <c r="AN9" s="1401"/>
      <c r="AO9" s="1401"/>
      <c r="AP9" s="1401"/>
      <c r="AQ9" s="1401"/>
      <c r="AR9" s="1401"/>
      <c r="AS9" s="1401"/>
      <c r="AT9" s="1401"/>
      <c r="AU9" s="1401"/>
      <c r="AV9" s="1401"/>
      <c r="AW9" s="1401"/>
      <c r="AX9" s="1401"/>
      <c r="AY9" s="1432" t="s">
        <v>3084</v>
      </c>
      <c r="AZ9" s="1433"/>
      <c r="BA9" s="1433"/>
      <c r="BB9" s="1433"/>
      <c r="BC9" s="1433"/>
      <c r="BD9" s="1433"/>
      <c r="BE9" s="1433"/>
      <c r="BF9" s="1433"/>
      <c r="BG9" s="1433"/>
      <c r="BH9" s="1433"/>
      <c r="BI9" s="1433"/>
      <c r="BJ9" s="1433"/>
      <c r="BK9" s="1433"/>
      <c r="BL9" s="1433"/>
      <c r="BM9" s="1433"/>
      <c r="BN9" s="1433"/>
      <c r="BO9" s="1433"/>
      <c r="BP9" s="1433"/>
      <c r="BQ9" s="1433"/>
      <c r="BR9" s="1433"/>
      <c r="BS9" s="1433"/>
      <c r="BT9" s="1434"/>
      <c r="BU9" s="1469" t="s">
        <v>79</v>
      </c>
      <c r="BV9" s="1470"/>
      <c r="BW9" s="1470"/>
      <c r="BX9" s="1470"/>
      <c r="BY9" s="1470"/>
      <c r="BZ9" s="1471"/>
      <c r="CA9" s="820"/>
    </row>
    <row r="10" spans="1:87" ht="10.5" customHeight="1">
      <c r="A10" s="1400"/>
      <c r="B10" s="1400"/>
      <c r="C10" s="1400"/>
      <c r="D10" s="1400"/>
      <c r="E10" s="1400"/>
      <c r="F10" s="1400"/>
      <c r="G10" s="1404"/>
      <c r="H10" s="1404"/>
      <c r="I10" s="1402">
        <v>0.25</v>
      </c>
      <c r="J10" s="1402"/>
      <c r="K10" s="1402"/>
      <c r="L10" s="1402"/>
      <c r="M10" s="1402">
        <v>0.29166666666666669</v>
      </c>
      <c r="N10" s="1402"/>
      <c r="O10" s="1402"/>
      <c r="P10" s="1402"/>
      <c r="Q10" s="1402">
        <v>0.33333333333333331</v>
      </c>
      <c r="R10" s="1402"/>
      <c r="S10" s="1402"/>
      <c r="T10" s="1402"/>
      <c r="U10" s="1402">
        <v>0.375</v>
      </c>
      <c r="V10" s="1402"/>
      <c r="W10" s="1402"/>
      <c r="X10" s="1402"/>
      <c r="Y10" s="1402">
        <v>0.41666666666666669</v>
      </c>
      <c r="Z10" s="1419"/>
      <c r="AA10" s="1402"/>
      <c r="AB10" s="1402"/>
      <c r="AC10" s="1402">
        <v>0.45833333333333331</v>
      </c>
      <c r="AD10" s="1402"/>
      <c r="AE10" s="1402"/>
      <c r="AF10" s="1402"/>
      <c r="AG10" s="1403">
        <v>0.5</v>
      </c>
      <c r="AH10" s="1403"/>
      <c r="AI10" s="1403"/>
      <c r="AJ10" s="1403"/>
      <c r="AK10" s="1403">
        <v>4.1666666666666664E-2</v>
      </c>
      <c r="AL10" s="1403"/>
      <c r="AM10" s="1403"/>
      <c r="AN10" s="1403"/>
      <c r="AO10" s="1403">
        <v>8.3333333333333329E-2</v>
      </c>
      <c r="AP10" s="1403"/>
      <c r="AQ10" s="1403"/>
      <c r="AR10" s="1403"/>
      <c r="AS10" s="1403">
        <v>0.125</v>
      </c>
      <c r="AT10" s="1403"/>
      <c r="AU10" s="1403"/>
      <c r="AV10" s="1403"/>
      <c r="AW10" s="1403">
        <v>0.16666666666666666</v>
      </c>
      <c r="AX10" s="1403"/>
      <c r="AY10" s="1403"/>
      <c r="AZ10" s="1403"/>
      <c r="BA10" s="1403">
        <v>0.20833333333333334</v>
      </c>
      <c r="BB10" s="1403"/>
      <c r="BC10" s="1403"/>
      <c r="BD10" s="1403"/>
      <c r="BE10" s="1403">
        <v>0.25</v>
      </c>
      <c r="BF10" s="1403"/>
      <c r="BG10" s="1403"/>
      <c r="BH10" s="1403"/>
      <c r="BI10" s="1403">
        <v>0.29166666666666669</v>
      </c>
      <c r="BJ10" s="1403"/>
      <c r="BK10" s="1403"/>
      <c r="BL10" s="1403"/>
      <c r="BM10" s="1403">
        <v>0.33333333333333331</v>
      </c>
      <c r="BN10" s="1403"/>
      <c r="BO10" s="1403"/>
      <c r="BP10" s="1403"/>
      <c r="BQ10" s="1403">
        <v>0.375</v>
      </c>
      <c r="BR10" s="1403"/>
      <c r="BS10" s="1403"/>
      <c r="BT10" s="1403"/>
      <c r="BU10" s="1403">
        <v>0.41666666666666669</v>
      </c>
      <c r="BV10" s="1417"/>
      <c r="BW10" s="1417"/>
      <c r="BX10" s="1417"/>
      <c r="BY10" s="1403"/>
      <c r="BZ10" s="1403"/>
      <c r="CA10" s="822"/>
      <c r="CB10" s="823"/>
      <c r="CC10" s="823"/>
      <c r="CD10" s="823"/>
      <c r="CE10" s="823"/>
      <c r="CF10" s="823"/>
      <c r="CG10" s="823"/>
      <c r="CH10" s="823"/>
      <c r="CI10" s="823"/>
    </row>
    <row r="11" spans="1:87" ht="9.9499999999999993" customHeight="1">
      <c r="A11" s="1413" t="str">
        <f>AK4</f>
        <v/>
      </c>
      <c r="B11" s="1413"/>
      <c r="C11" s="1413"/>
      <c r="D11" s="1398" t="s">
        <v>81</v>
      </c>
      <c r="E11" s="1398"/>
      <c r="F11" s="1398"/>
      <c r="G11" s="1447" t="s">
        <v>3085</v>
      </c>
      <c r="H11" s="1448"/>
      <c r="I11" s="1448"/>
      <c r="J11" s="1448"/>
      <c r="K11" s="1448"/>
      <c r="L11" s="1448"/>
      <c r="M11" s="1448"/>
      <c r="N11" s="1448"/>
      <c r="O11" s="1448"/>
      <c r="P11" s="1448"/>
      <c r="Q11" s="1448"/>
      <c r="R11" s="1448"/>
      <c r="S11" s="1448"/>
      <c r="T11" s="1448"/>
      <c r="U11" s="1448"/>
      <c r="V11" s="1449"/>
      <c r="W11" s="1056"/>
      <c r="X11" s="1056"/>
      <c r="Y11" s="1056"/>
      <c r="Z11" s="1056"/>
      <c r="AA11" s="1057"/>
      <c r="AB11" s="1058"/>
      <c r="AC11" s="1058"/>
      <c r="AD11" s="1058"/>
      <c r="AE11" s="1059"/>
      <c r="AF11" s="1060"/>
      <c r="AG11" s="1061"/>
      <c r="AH11" s="1062"/>
      <c r="AI11" s="1061"/>
      <c r="AJ11" s="1061"/>
      <c r="AK11" s="1061"/>
      <c r="AL11" s="1062"/>
      <c r="AM11" s="1061"/>
      <c r="AN11" s="1061"/>
      <c r="AO11" s="1061"/>
      <c r="AP11" s="1061"/>
      <c r="AQ11" s="1063"/>
      <c r="AR11" s="1061"/>
      <c r="AS11" s="1064"/>
      <c r="AT11" s="1064"/>
      <c r="AU11" s="1059"/>
      <c r="AV11" s="1061"/>
      <c r="AW11" s="1061"/>
      <c r="AX11" s="1061"/>
      <c r="AY11" s="1063"/>
      <c r="AZ11" s="1061"/>
      <c r="BA11" s="1061"/>
      <c r="BB11" s="1061"/>
      <c r="BC11" s="1063"/>
      <c r="BD11" s="1061"/>
      <c r="BE11" s="1061"/>
      <c r="BF11" s="1061"/>
      <c r="BG11" s="1063"/>
      <c r="BH11" s="1061"/>
      <c r="BI11" s="1061"/>
      <c r="BJ11" s="1061"/>
      <c r="BK11" s="830"/>
      <c r="BL11" s="831"/>
      <c r="BM11" s="831"/>
      <c r="BN11" s="831"/>
      <c r="BO11" s="1057"/>
      <c r="BP11" s="1058"/>
      <c r="BQ11" s="1058"/>
      <c r="BR11" s="1058"/>
      <c r="BS11" s="1063"/>
      <c r="BT11" s="1061"/>
      <c r="BU11" s="1064"/>
      <c r="BV11" s="1065"/>
      <c r="BW11" s="1064"/>
      <c r="BX11" s="1064"/>
      <c r="BY11" s="1064"/>
      <c r="BZ11" s="1066"/>
      <c r="CA11" s="824"/>
      <c r="CB11" s="823"/>
      <c r="CC11" s="823"/>
      <c r="CD11" s="823"/>
      <c r="CE11" s="823"/>
      <c r="CF11" s="823"/>
      <c r="CG11" s="823"/>
      <c r="CH11" s="823"/>
      <c r="CI11" s="823"/>
    </row>
    <row r="12" spans="1:87" ht="9.9499999999999993" customHeight="1">
      <c r="A12" s="1413"/>
      <c r="B12" s="1413"/>
      <c r="C12" s="1413"/>
      <c r="D12" s="1398"/>
      <c r="E12" s="1398"/>
      <c r="F12" s="1398"/>
      <c r="G12" s="1450"/>
      <c r="H12" s="1451"/>
      <c r="I12" s="1451"/>
      <c r="J12" s="1451"/>
      <c r="K12" s="1451"/>
      <c r="L12" s="1451"/>
      <c r="M12" s="1451"/>
      <c r="N12" s="1451"/>
      <c r="O12" s="1451"/>
      <c r="P12" s="1451"/>
      <c r="Q12" s="1451"/>
      <c r="R12" s="1451"/>
      <c r="S12" s="1451"/>
      <c r="T12" s="1451"/>
      <c r="U12" s="1451"/>
      <c r="V12" s="1452"/>
      <c r="W12" s="1067"/>
      <c r="X12" s="1067"/>
      <c r="Y12" s="1067"/>
      <c r="Z12" s="1067"/>
      <c r="AA12" s="1064"/>
      <c r="AB12" s="1064"/>
      <c r="AC12" s="1064"/>
      <c r="AD12" s="1068"/>
      <c r="AE12" s="1061"/>
      <c r="AF12" s="1061"/>
      <c r="AG12" s="1061"/>
      <c r="AH12" s="1069"/>
      <c r="AI12" s="1061"/>
      <c r="AJ12" s="1061"/>
      <c r="AK12" s="1061"/>
      <c r="AL12" s="1069"/>
      <c r="AM12" s="1061"/>
      <c r="AN12" s="1061"/>
      <c r="AO12" s="1061"/>
      <c r="AP12" s="1069"/>
      <c r="AQ12" s="1061"/>
      <c r="AR12" s="1061"/>
      <c r="AS12" s="1064"/>
      <c r="AT12" s="1068"/>
      <c r="AU12" s="1061"/>
      <c r="AV12" s="1061"/>
      <c r="AW12" s="1061"/>
      <c r="AX12" s="1069"/>
      <c r="AY12" s="1061"/>
      <c r="AZ12" s="1061"/>
      <c r="BA12" s="1061"/>
      <c r="BB12" s="1069"/>
      <c r="BC12" s="1061"/>
      <c r="BD12" s="1061"/>
      <c r="BE12" s="1061"/>
      <c r="BF12" s="1061"/>
      <c r="BG12" s="1061"/>
      <c r="BH12" s="1061"/>
      <c r="BI12" s="1061"/>
      <c r="BJ12" s="1061"/>
      <c r="BK12" s="1070"/>
      <c r="BL12" s="1070"/>
      <c r="BM12" s="1070"/>
      <c r="BN12" s="1070"/>
      <c r="BO12" s="1064"/>
      <c r="BP12" s="1064"/>
      <c r="BQ12" s="1064"/>
      <c r="BR12" s="1064"/>
      <c r="BS12" s="1061"/>
      <c r="BT12" s="1061"/>
      <c r="BU12" s="1064"/>
      <c r="BV12" s="1068"/>
      <c r="BW12" s="1064"/>
      <c r="BX12" s="1064"/>
      <c r="BY12" s="1064"/>
      <c r="BZ12" s="1066"/>
      <c r="CA12" s="824"/>
      <c r="CB12" s="823"/>
      <c r="CC12" s="823"/>
      <c r="CD12" s="823"/>
      <c r="CE12" s="823"/>
      <c r="CF12" s="823"/>
      <c r="CG12" s="823"/>
      <c r="CH12" s="823"/>
      <c r="CI12" s="823"/>
    </row>
    <row r="13" spans="1:87" ht="9.9499999999999993" customHeight="1">
      <c r="A13" s="1414"/>
      <c r="B13" s="1414"/>
      <c r="C13" s="1414"/>
      <c r="D13" s="1398"/>
      <c r="E13" s="1398"/>
      <c r="F13" s="1398"/>
      <c r="G13" s="1450"/>
      <c r="H13" s="1451"/>
      <c r="I13" s="1451"/>
      <c r="J13" s="1451"/>
      <c r="K13" s="1451"/>
      <c r="L13" s="1451"/>
      <c r="M13" s="1451"/>
      <c r="N13" s="1451"/>
      <c r="O13" s="1451"/>
      <c r="P13" s="1451"/>
      <c r="Q13" s="1451"/>
      <c r="R13" s="1451"/>
      <c r="S13" s="1451"/>
      <c r="T13" s="1451"/>
      <c r="U13" s="1451"/>
      <c r="V13" s="1452"/>
      <c r="W13" s="1067"/>
      <c r="X13" s="1067"/>
      <c r="Y13" s="1067"/>
      <c r="Z13" s="1067"/>
      <c r="AA13" s="1064"/>
      <c r="AB13" s="1064"/>
      <c r="AC13" s="1064"/>
      <c r="AD13" s="1068"/>
      <c r="AE13" s="1061"/>
      <c r="AF13" s="1061"/>
      <c r="AG13" s="1061"/>
      <c r="AH13" s="1069"/>
      <c r="AI13" s="1061"/>
      <c r="AJ13" s="1061"/>
      <c r="AK13" s="1061"/>
      <c r="AL13" s="1069"/>
      <c r="AM13" s="1061"/>
      <c r="AN13" s="1061"/>
      <c r="AO13" s="1061"/>
      <c r="AP13" s="1069"/>
      <c r="AQ13" s="1061"/>
      <c r="AR13" s="1061"/>
      <c r="AS13" s="1064"/>
      <c r="AT13" s="1068"/>
      <c r="AU13" s="1061"/>
      <c r="AV13" s="1061"/>
      <c r="AW13" s="1061"/>
      <c r="AX13" s="1069"/>
      <c r="AY13" s="1061"/>
      <c r="AZ13" s="1061"/>
      <c r="BA13" s="1061"/>
      <c r="BB13" s="1069"/>
      <c r="BC13" s="1061"/>
      <c r="BD13" s="1061"/>
      <c r="BE13" s="1061"/>
      <c r="BF13" s="1061"/>
      <c r="BG13" s="1061"/>
      <c r="BH13" s="1061"/>
      <c r="BI13" s="1061"/>
      <c r="BJ13" s="1061"/>
      <c r="BK13" s="1070"/>
      <c r="BL13" s="1070"/>
      <c r="BM13" s="1070"/>
      <c r="BN13" s="1070"/>
      <c r="BO13" s="1064"/>
      <c r="BP13" s="1064"/>
      <c r="BQ13" s="1064"/>
      <c r="BR13" s="1064"/>
      <c r="BS13" s="1061"/>
      <c r="BT13" s="1061"/>
      <c r="BU13" s="1064"/>
      <c r="BV13" s="1068"/>
      <c r="BW13" s="1064"/>
      <c r="BX13" s="1064"/>
      <c r="BY13" s="1064"/>
      <c r="BZ13" s="1066"/>
      <c r="CA13" s="825"/>
      <c r="CB13" s="823"/>
      <c r="CC13" s="823"/>
      <c r="CD13" s="823"/>
      <c r="CE13" s="823"/>
      <c r="CF13" s="823"/>
      <c r="CG13" s="823"/>
      <c r="CH13" s="823"/>
      <c r="CI13" s="823"/>
    </row>
    <row r="14" spans="1:87" ht="9.9499999999999993" customHeight="1">
      <c r="A14" s="1397" t="s">
        <v>17</v>
      </c>
      <c r="B14" s="1397"/>
      <c r="C14" s="1397"/>
      <c r="D14" s="1398"/>
      <c r="E14" s="1398"/>
      <c r="F14" s="1398"/>
      <c r="G14" s="1450"/>
      <c r="H14" s="1451"/>
      <c r="I14" s="1451"/>
      <c r="J14" s="1451"/>
      <c r="K14" s="1451"/>
      <c r="L14" s="1451"/>
      <c r="M14" s="1451"/>
      <c r="N14" s="1451"/>
      <c r="O14" s="1451"/>
      <c r="P14" s="1451"/>
      <c r="Q14" s="1451"/>
      <c r="R14" s="1451"/>
      <c r="S14" s="1451"/>
      <c r="T14" s="1451"/>
      <c r="U14" s="1451"/>
      <c r="V14" s="1452"/>
      <c r="W14" s="1067"/>
      <c r="X14" s="1067"/>
      <c r="Y14" s="1067"/>
      <c r="Z14" s="1067"/>
      <c r="AA14" s="1064"/>
      <c r="AB14" s="1064"/>
      <c r="AC14" s="1064"/>
      <c r="AD14" s="1068"/>
      <c r="AE14" s="1061"/>
      <c r="AF14" s="1061"/>
      <c r="AG14" s="1061"/>
      <c r="AH14" s="1069"/>
      <c r="AI14" s="1061"/>
      <c r="AJ14" s="1061"/>
      <c r="AK14" s="1061"/>
      <c r="AL14" s="1069"/>
      <c r="AM14" s="1061"/>
      <c r="AN14" s="1061"/>
      <c r="AO14" s="1061"/>
      <c r="AP14" s="1069"/>
      <c r="AQ14" s="1061"/>
      <c r="AR14" s="1061"/>
      <c r="AS14" s="1064"/>
      <c r="AT14" s="1068"/>
      <c r="AU14" s="1061"/>
      <c r="AV14" s="1061"/>
      <c r="AW14" s="1061"/>
      <c r="AX14" s="1069"/>
      <c r="AY14" s="1061"/>
      <c r="AZ14" s="1061"/>
      <c r="BA14" s="1061"/>
      <c r="BB14" s="1069"/>
      <c r="BC14" s="1061"/>
      <c r="BD14" s="1061"/>
      <c r="BE14" s="1061"/>
      <c r="BF14" s="1061"/>
      <c r="BG14" s="1061"/>
      <c r="BH14" s="1061"/>
      <c r="BI14" s="1061"/>
      <c r="BJ14" s="1061"/>
      <c r="BK14" s="1070"/>
      <c r="BL14" s="1070"/>
      <c r="BM14" s="1070"/>
      <c r="BN14" s="1070"/>
      <c r="BO14" s="1064"/>
      <c r="BP14" s="1064"/>
      <c r="BQ14" s="1064"/>
      <c r="BR14" s="1064"/>
      <c r="BS14" s="1061"/>
      <c r="BT14" s="1061"/>
      <c r="BU14" s="1064"/>
      <c r="BV14" s="1068"/>
      <c r="BW14" s="1064"/>
      <c r="BX14" s="1064"/>
      <c r="BY14" s="1064"/>
      <c r="BZ14" s="1066"/>
      <c r="CA14" s="825"/>
      <c r="CB14" s="823"/>
      <c r="CC14" s="823"/>
      <c r="CD14" s="823"/>
      <c r="CE14" s="823"/>
      <c r="CF14" s="823"/>
      <c r="CG14" s="823"/>
      <c r="CH14" s="823"/>
      <c r="CI14" s="823"/>
    </row>
    <row r="15" spans="1:87" ht="9.9499999999999993" customHeight="1">
      <c r="A15" s="1398"/>
      <c r="B15" s="1398"/>
      <c r="C15" s="1398"/>
      <c r="D15" s="1398"/>
      <c r="E15" s="1398"/>
      <c r="F15" s="1398"/>
      <c r="G15" s="1450"/>
      <c r="H15" s="1451"/>
      <c r="I15" s="1451"/>
      <c r="J15" s="1451"/>
      <c r="K15" s="1451"/>
      <c r="L15" s="1451"/>
      <c r="M15" s="1451"/>
      <c r="N15" s="1451"/>
      <c r="O15" s="1451"/>
      <c r="P15" s="1451"/>
      <c r="Q15" s="1451"/>
      <c r="R15" s="1451"/>
      <c r="S15" s="1451"/>
      <c r="T15" s="1451"/>
      <c r="U15" s="1451"/>
      <c r="V15" s="1452"/>
      <c r="W15" s="1067"/>
      <c r="X15" s="1067"/>
      <c r="Y15" s="1067"/>
      <c r="Z15" s="1067"/>
      <c r="AA15" s="1064"/>
      <c r="AB15" s="1064"/>
      <c r="AC15" s="1064"/>
      <c r="AD15" s="1068"/>
      <c r="AE15" s="1061"/>
      <c r="AF15" s="1061"/>
      <c r="AG15" s="1061"/>
      <c r="AH15" s="1069"/>
      <c r="AI15" s="1061"/>
      <c r="AJ15" s="1061"/>
      <c r="AK15" s="1061"/>
      <c r="AL15" s="1069"/>
      <c r="AM15" s="1061"/>
      <c r="AN15" s="1061"/>
      <c r="AO15" s="1061"/>
      <c r="AP15" s="1069"/>
      <c r="AQ15" s="1061"/>
      <c r="AR15" s="1061"/>
      <c r="AS15" s="1064"/>
      <c r="AT15" s="1068"/>
      <c r="AU15" s="1061"/>
      <c r="AV15" s="1061"/>
      <c r="AW15" s="1061"/>
      <c r="AX15" s="1069"/>
      <c r="AY15" s="1061"/>
      <c r="AZ15" s="1061"/>
      <c r="BA15" s="1061"/>
      <c r="BB15" s="1069"/>
      <c r="BC15" s="1061"/>
      <c r="BD15" s="1061"/>
      <c r="BE15" s="1061"/>
      <c r="BF15" s="1061"/>
      <c r="BG15" s="1061"/>
      <c r="BH15" s="1061"/>
      <c r="BI15" s="1061"/>
      <c r="BJ15" s="1061"/>
      <c r="BK15" s="1070"/>
      <c r="BL15" s="1070"/>
      <c r="BM15" s="1070"/>
      <c r="BN15" s="1070"/>
      <c r="BO15" s="1064"/>
      <c r="BP15" s="1064"/>
      <c r="BQ15" s="1064"/>
      <c r="BR15" s="1064"/>
      <c r="BS15" s="1061"/>
      <c r="BT15" s="1061"/>
      <c r="BU15" s="1064"/>
      <c r="BV15" s="1068"/>
      <c r="BW15" s="1064"/>
      <c r="BX15" s="1064"/>
      <c r="BY15" s="1064"/>
      <c r="BZ15" s="1066"/>
      <c r="CA15" s="824"/>
      <c r="CB15" s="823"/>
      <c r="CC15" s="823"/>
      <c r="CD15" s="823"/>
      <c r="CE15" s="823"/>
      <c r="CF15" s="823"/>
      <c r="CG15" s="823"/>
      <c r="CH15" s="823"/>
      <c r="CI15" s="823"/>
    </row>
    <row r="16" spans="1:87" ht="9.9499999999999993" customHeight="1">
      <c r="A16" s="1411"/>
      <c r="B16" s="1411"/>
      <c r="C16" s="1411"/>
      <c r="D16" s="1398"/>
      <c r="E16" s="1398"/>
      <c r="F16" s="1398"/>
      <c r="G16" s="1450"/>
      <c r="H16" s="1451"/>
      <c r="I16" s="1451"/>
      <c r="J16" s="1451"/>
      <c r="K16" s="1451"/>
      <c r="L16" s="1451"/>
      <c r="M16" s="1451"/>
      <c r="N16" s="1451"/>
      <c r="O16" s="1451"/>
      <c r="P16" s="1451"/>
      <c r="Q16" s="1451"/>
      <c r="R16" s="1451"/>
      <c r="S16" s="1451"/>
      <c r="T16" s="1451"/>
      <c r="U16" s="1451"/>
      <c r="V16" s="1452"/>
      <c r="W16" s="1067"/>
      <c r="X16" s="1067"/>
      <c r="Y16" s="1067"/>
      <c r="Z16" s="1067"/>
      <c r="AA16" s="1064"/>
      <c r="AB16" s="1064"/>
      <c r="AC16" s="1064"/>
      <c r="AD16" s="1068"/>
      <c r="AE16" s="1061"/>
      <c r="AF16" s="1061"/>
      <c r="AG16" s="1061"/>
      <c r="AH16" s="1069"/>
      <c r="AI16" s="1061"/>
      <c r="AJ16" s="1061"/>
      <c r="AK16" s="1061"/>
      <c r="AL16" s="1069"/>
      <c r="AM16" s="1061"/>
      <c r="AN16" s="1061"/>
      <c r="AO16" s="1061"/>
      <c r="AP16" s="1069"/>
      <c r="AQ16" s="1061"/>
      <c r="AR16" s="1061"/>
      <c r="AS16" s="1064"/>
      <c r="AT16" s="1068"/>
      <c r="AU16" s="1061"/>
      <c r="AV16" s="1061"/>
      <c r="AW16" s="1061"/>
      <c r="AX16" s="1069"/>
      <c r="AY16" s="1061"/>
      <c r="AZ16" s="1061"/>
      <c r="BA16" s="1061"/>
      <c r="BB16" s="1069"/>
      <c r="BC16" s="1061"/>
      <c r="BD16" s="1061"/>
      <c r="BE16" s="1061"/>
      <c r="BF16" s="1061"/>
      <c r="BG16" s="1061"/>
      <c r="BH16" s="1061"/>
      <c r="BI16" s="1061"/>
      <c r="BJ16" s="1061"/>
      <c r="BK16" s="1070"/>
      <c r="BL16" s="1070"/>
      <c r="BM16" s="1070"/>
      <c r="BN16" s="1070"/>
      <c r="BO16" s="1064"/>
      <c r="BP16" s="1064"/>
      <c r="BQ16" s="1064"/>
      <c r="BR16" s="1064"/>
      <c r="BS16" s="1061"/>
      <c r="BT16" s="1061"/>
      <c r="BU16" s="1064"/>
      <c r="BV16" s="1068"/>
      <c r="BW16" s="1064"/>
      <c r="BX16" s="1064"/>
      <c r="BY16" s="1064"/>
      <c r="BZ16" s="1066"/>
      <c r="CA16" s="824"/>
      <c r="CB16" s="823"/>
      <c r="CC16" s="823"/>
      <c r="CD16" s="823"/>
      <c r="CE16" s="823"/>
      <c r="CF16" s="823"/>
      <c r="CG16" s="823"/>
      <c r="CH16" s="823"/>
      <c r="CI16" s="823"/>
    </row>
    <row r="17" spans="1:87" ht="9.9499999999999993" customHeight="1">
      <c r="A17" s="1412" t="str">
        <f>AO4</f>
        <v/>
      </c>
      <c r="B17" s="1412"/>
      <c r="C17" s="1412"/>
      <c r="D17" s="1398"/>
      <c r="E17" s="1398"/>
      <c r="F17" s="1398"/>
      <c r="G17" s="1450"/>
      <c r="H17" s="1451"/>
      <c r="I17" s="1451"/>
      <c r="J17" s="1451"/>
      <c r="K17" s="1451"/>
      <c r="L17" s="1451"/>
      <c r="M17" s="1451"/>
      <c r="N17" s="1451"/>
      <c r="O17" s="1451"/>
      <c r="P17" s="1451"/>
      <c r="Q17" s="1451"/>
      <c r="R17" s="1451"/>
      <c r="S17" s="1451"/>
      <c r="T17" s="1451"/>
      <c r="U17" s="1451"/>
      <c r="V17" s="1452"/>
      <c r="W17" s="1067"/>
      <c r="X17" s="1067"/>
      <c r="Y17" s="1067"/>
      <c r="Z17" s="1067"/>
      <c r="AA17" s="1064"/>
      <c r="AB17" s="1064"/>
      <c r="AC17" s="1064"/>
      <c r="AD17" s="1068"/>
      <c r="AE17" s="1061"/>
      <c r="AF17" s="1061"/>
      <c r="AG17" s="1061"/>
      <c r="AH17" s="1069"/>
      <c r="AI17" s="1061"/>
      <c r="AJ17" s="1061"/>
      <c r="AK17" s="1061"/>
      <c r="AL17" s="1069"/>
      <c r="AM17" s="1061"/>
      <c r="AN17" s="1061"/>
      <c r="AO17" s="1061"/>
      <c r="AP17" s="1069"/>
      <c r="AQ17" s="1061"/>
      <c r="AR17" s="1061"/>
      <c r="AS17" s="1064"/>
      <c r="AT17" s="1068"/>
      <c r="AU17" s="1061"/>
      <c r="AV17" s="1061"/>
      <c r="AW17" s="1061"/>
      <c r="AX17" s="1069"/>
      <c r="AY17" s="1061"/>
      <c r="AZ17" s="1061"/>
      <c r="BA17" s="1061"/>
      <c r="BB17" s="1069"/>
      <c r="BC17" s="1061"/>
      <c r="BD17" s="1061"/>
      <c r="BE17" s="1061"/>
      <c r="BF17" s="1061"/>
      <c r="BG17" s="1061"/>
      <c r="BH17" s="1061"/>
      <c r="BI17" s="1061"/>
      <c r="BJ17" s="1061"/>
      <c r="BK17" s="1070"/>
      <c r="BL17" s="1070"/>
      <c r="BM17" s="1070"/>
      <c r="BN17" s="1070"/>
      <c r="BO17" s="1064"/>
      <c r="BP17" s="1064"/>
      <c r="BQ17" s="1064"/>
      <c r="BR17" s="1064"/>
      <c r="BS17" s="1061"/>
      <c r="BT17" s="1061"/>
      <c r="BU17" s="1064"/>
      <c r="BV17" s="1068"/>
      <c r="BW17" s="1064"/>
      <c r="BX17" s="1064"/>
      <c r="BY17" s="1064"/>
      <c r="BZ17" s="1066"/>
      <c r="CA17" s="824"/>
      <c r="CB17" s="823"/>
      <c r="CC17" s="823"/>
      <c r="CD17" s="823"/>
      <c r="CE17" s="823"/>
      <c r="CF17" s="823"/>
      <c r="CG17" s="823"/>
      <c r="CH17" s="823"/>
      <c r="CI17" s="823"/>
    </row>
    <row r="18" spans="1:87" ht="9.9499999999999993" customHeight="1">
      <c r="A18" s="1413"/>
      <c r="B18" s="1413"/>
      <c r="C18" s="1413"/>
      <c r="D18" s="1398"/>
      <c r="E18" s="1398"/>
      <c r="F18" s="1398"/>
      <c r="G18" s="1450"/>
      <c r="H18" s="1451"/>
      <c r="I18" s="1451"/>
      <c r="J18" s="1451"/>
      <c r="K18" s="1451"/>
      <c r="L18" s="1451"/>
      <c r="M18" s="1451"/>
      <c r="N18" s="1451"/>
      <c r="O18" s="1451"/>
      <c r="P18" s="1451"/>
      <c r="Q18" s="1451"/>
      <c r="R18" s="1451"/>
      <c r="S18" s="1451"/>
      <c r="T18" s="1451"/>
      <c r="U18" s="1451"/>
      <c r="V18" s="1452"/>
      <c r="W18" s="1071"/>
      <c r="X18" s="1071"/>
      <c r="Y18" s="1071"/>
      <c r="Z18" s="1071"/>
      <c r="AA18" s="1072"/>
      <c r="AB18" s="1072"/>
      <c r="AC18" s="1072"/>
      <c r="AD18" s="1073"/>
      <c r="AE18" s="1074"/>
      <c r="AF18" s="1074"/>
      <c r="AG18" s="1074"/>
      <c r="AH18" s="1075"/>
      <c r="AI18" s="1074"/>
      <c r="AJ18" s="1074"/>
      <c r="AK18" s="1074"/>
      <c r="AL18" s="1075"/>
      <c r="AM18" s="1074"/>
      <c r="AN18" s="1074"/>
      <c r="AO18" s="1074"/>
      <c r="AP18" s="1075"/>
      <c r="AQ18" s="1074"/>
      <c r="AR18" s="1074"/>
      <c r="AS18" s="1072"/>
      <c r="AT18" s="1073"/>
      <c r="AU18" s="1074"/>
      <c r="AV18" s="1074"/>
      <c r="AW18" s="1074"/>
      <c r="AX18" s="1075"/>
      <c r="AY18" s="1074"/>
      <c r="AZ18" s="1074"/>
      <c r="BA18" s="1074"/>
      <c r="BB18" s="1075"/>
      <c r="BC18" s="1074"/>
      <c r="BD18" s="1074"/>
      <c r="BE18" s="1074"/>
      <c r="BF18" s="1074"/>
      <c r="BG18" s="1074"/>
      <c r="BH18" s="1074"/>
      <c r="BI18" s="1074"/>
      <c r="BJ18" s="1074"/>
      <c r="BK18" s="829"/>
      <c r="BL18" s="829"/>
      <c r="BM18" s="829"/>
      <c r="BN18" s="829"/>
      <c r="BO18" s="1072"/>
      <c r="BP18" s="1072"/>
      <c r="BQ18" s="1072"/>
      <c r="BR18" s="1072"/>
      <c r="BS18" s="1074"/>
      <c r="BT18" s="1074"/>
      <c r="BU18" s="1072"/>
      <c r="BV18" s="1073"/>
      <c r="BW18" s="1072"/>
      <c r="BX18" s="1072"/>
      <c r="BY18" s="1072"/>
      <c r="BZ18" s="1076"/>
      <c r="CA18" s="826"/>
      <c r="CB18" s="823"/>
      <c r="CC18" s="823"/>
      <c r="CD18" s="823"/>
      <c r="CE18" s="823"/>
      <c r="CF18" s="823"/>
      <c r="CG18" s="823"/>
      <c r="CH18" s="823"/>
      <c r="CI18" s="823"/>
    </row>
    <row r="19" spans="1:87" ht="9.9499999999999993" customHeight="1">
      <c r="A19" s="1414"/>
      <c r="B19" s="1414"/>
      <c r="C19" s="1414"/>
      <c r="D19" s="1398" t="s">
        <v>80</v>
      </c>
      <c r="E19" s="1398"/>
      <c r="F19" s="1398"/>
      <c r="G19" s="1450"/>
      <c r="H19" s="1451"/>
      <c r="I19" s="1451"/>
      <c r="J19" s="1451"/>
      <c r="K19" s="1451"/>
      <c r="L19" s="1451"/>
      <c r="M19" s="1451"/>
      <c r="N19" s="1451"/>
      <c r="O19" s="1451"/>
      <c r="P19" s="1451"/>
      <c r="Q19" s="1451"/>
      <c r="R19" s="1451"/>
      <c r="S19" s="1451"/>
      <c r="T19" s="1451"/>
      <c r="U19" s="1451"/>
      <c r="V19" s="1452"/>
      <c r="W19" s="1067"/>
      <c r="X19" s="1067"/>
      <c r="Y19" s="1067"/>
      <c r="Z19" s="1067"/>
      <c r="AA19" s="1060"/>
      <c r="AB19" s="1060"/>
      <c r="AC19" s="1060"/>
      <c r="AD19" s="1077"/>
      <c r="AE19" s="1078"/>
      <c r="AF19" s="1060"/>
      <c r="AG19" s="1060"/>
      <c r="AH19" s="1077"/>
      <c r="AI19" s="1060"/>
      <c r="AJ19" s="1060"/>
      <c r="AK19" s="1060"/>
      <c r="AL19" s="1077"/>
      <c r="AM19" s="1060"/>
      <c r="AN19" s="1060"/>
      <c r="AO19" s="1060"/>
      <c r="AP19" s="1077"/>
      <c r="AQ19" s="1060"/>
      <c r="AR19" s="1060"/>
      <c r="AS19" s="1060"/>
      <c r="AT19" s="1077"/>
      <c r="AU19" s="1060"/>
      <c r="AV19" s="1060"/>
      <c r="AW19" s="1060"/>
      <c r="AX19" s="1077"/>
      <c r="AY19" s="1060"/>
      <c r="AZ19" s="1060"/>
      <c r="BA19" s="1060"/>
      <c r="BB19" s="1077"/>
      <c r="BC19" s="1060"/>
      <c r="BD19" s="1060"/>
      <c r="BE19" s="1060"/>
      <c r="BF19" s="1060"/>
      <c r="BG19" s="1060"/>
      <c r="BH19" s="1060"/>
      <c r="BI19" s="1060"/>
      <c r="BJ19" s="1060"/>
      <c r="BK19" s="1070"/>
      <c r="BL19" s="1070"/>
      <c r="BM19" s="1070"/>
      <c r="BN19" s="1070"/>
      <c r="BO19" s="1064"/>
      <c r="BP19" s="1064"/>
      <c r="BQ19" s="1064"/>
      <c r="BR19" s="1064"/>
      <c r="BS19" s="1060"/>
      <c r="BT19" s="1060"/>
      <c r="BU19" s="1060"/>
      <c r="BV19" s="1077"/>
      <c r="BW19" s="1060"/>
      <c r="BX19" s="1060"/>
      <c r="BY19" s="1060"/>
      <c r="BZ19" s="1062"/>
      <c r="CA19" s="824"/>
      <c r="CB19" s="823"/>
      <c r="CC19" s="823"/>
      <c r="CD19" s="823"/>
      <c r="CE19" s="823"/>
      <c r="CF19" s="823"/>
      <c r="CG19" s="823"/>
      <c r="CH19" s="823"/>
      <c r="CI19" s="823"/>
    </row>
    <row r="20" spans="1:87" ht="9.9499999999999993" customHeight="1">
      <c r="A20" s="1405" t="s">
        <v>16</v>
      </c>
      <c r="B20" s="1405"/>
      <c r="C20" s="1405"/>
      <c r="D20" s="1398"/>
      <c r="E20" s="1398"/>
      <c r="F20" s="1398"/>
      <c r="G20" s="1450"/>
      <c r="H20" s="1451"/>
      <c r="I20" s="1451"/>
      <c r="J20" s="1451"/>
      <c r="K20" s="1451"/>
      <c r="L20" s="1451"/>
      <c r="M20" s="1451"/>
      <c r="N20" s="1451"/>
      <c r="O20" s="1451"/>
      <c r="P20" s="1451"/>
      <c r="Q20" s="1451"/>
      <c r="R20" s="1451"/>
      <c r="S20" s="1451"/>
      <c r="T20" s="1451"/>
      <c r="U20" s="1451"/>
      <c r="V20" s="1452"/>
      <c r="W20" s="1067"/>
      <c r="X20" s="1067"/>
      <c r="Y20" s="1067"/>
      <c r="Z20" s="1067"/>
      <c r="AA20" s="1061"/>
      <c r="AB20" s="1061"/>
      <c r="AC20" s="1061"/>
      <c r="AD20" s="1069"/>
      <c r="AE20" s="1061"/>
      <c r="AF20" s="1061"/>
      <c r="AG20" s="1061"/>
      <c r="AH20" s="1069"/>
      <c r="AI20" s="1061"/>
      <c r="AJ20" s="1061"/>
      <c r="AK20" s="1061"/>
      <c r="AL20" s="1069"/>
      <c r="AM20" s="1061"/>
      <c r="AN20" s="1061"/>
      <c r="AO20" s="1061"/>
      <c r="AP20" s="1069"/>
      <c r="AQ20" s="1061"/>
      <c r="AR20" s="1061"/>
      <c r="AS20" s="1061"/>
      <c r="AT20" s="1069"/>
      <c r="AU20" s="1061"/>
      <c r="AV20" s="1061"/>
      <c r="AW20" s="1061"/>
      <c r="AX20" s="1069"/>
      <c r="AY20" s="1061"/>
      <c r="AZ20" s="1061"/>
      <c r="BA20" s="1061"/>
      <c r="BB20" s="1069"/>
      <c r="BC20" s="1061"/>
      <c r="BD20" s="1061"/>
      <c r="BE20" s="1061"/>
      <c r="BF20" s="1061"/>
      <c r="BG20" s="1061"/>
      <c r="BH20" s="1061"/>
      <c r="BI20" s="1061"/>
      <c r="BJ20" s="1061"/>
      <c r="BK20" s="1070"/>
      <c r="BL20" s="1070"/>
      <c r="BM20" s="1070"/>
      <c r="BN20" s="1070"/>
      <c r="BO20" s="1064"/>
      <c r="BP20" s="1064"/>
      <c r="BQ20" s="1064"/>
      <c r="BR20" s="1064"/>
      <c r="BS20" s="1061"/>
      <c r="BT20" s="1061"/>
      <c r="BU20" s="1061"/>
      <c r="BV20" s="1069"/>
      <c r="BW20" s="1064"/>
      <c r="BX20" s="1064"/>
      <c r="BY20" s="1064"/>
      <c r="BZ20" s="1066"/>
      <c r="CA20" s="824"/>
      <c r="CB20" s="823"/>
      <c r="CC20" s="823"/>
      <c r="CD20" s="823"/>
      <c r="CE20" s="823"/>
      <c r="CF20" s="823"/>
      <c r="CG20" s="823"/>
      <c r="CH20" s="823"/>
      <c r="CI20" s="823"/>
    </row>
    <row r="21" spans="1:87" ht="9.9499999999999993" customHeight="1">
      <c r="A21" s="1406"/>
      <c r="B21" s="1406"/>
      <c r="C21" s="1406"/>
      <c r="D21" s="1398"/>
      <c r="E21" s="1398"/>
      <c r="F21" s="1398"/>
      <c r="G21" s="1450"/>
      <c r="H21" s="1451"/>
      <c r="I21" s="1451"/>
      <c r="J21" s="1451"/>
      <c r="K21" s="1451"/>
      <c r="L21" s="1451"/>
      <c r="M21" s="1451"/>
      <c r="N21" s="1451"/>
      <c r="O21" s="1451"/>
      <c r="P21" s="1451"/>
      <c r="Q21" s="1451"/>
      <c r="R21" s="1451"/>
      <c r="S21" s="1451"/>
      <c r="T21" s="1451"/>
      <c r="U21" s="1451"/>
      <c r="V21" s="1452"/>
      <c r="W21" s="1067"/>
      <c r="X21" s="1067"/>
      <c r="Y21" s="1067"/>
      <c r="Z21" s="1067"/>
      <c r="AA21" s="1061"/>
      <c r="AB21" s="1061"/>
      <c r="AC21" s="1061"/>
      <c r="AD21" s="1069"/>
      <c r="AE21" s="1061"/>
      <c r="AF21" s="1061"/>
      <c r="AG21" s="1061"/>
      <c r="AH21" s="1069"/>
      <c r="AI21" s="1061"/>
      <c r="AJ21" s="1061"/>
      <c r="AK21" s="1061"/>
      <c r="AL21" s="1069"/>
      <c r="AM21" s="1061"/>
      <c r="AN21" s="1061"/>
      <c r="AO21" s="1061"/>
      <c r="AP21" s="1069"/>
      <c r="AQ21" s="1061"/>
      <c r="AR21" s="1061"/>
      <c r="AS21" s="1061"/>
      <c r="AT21" s="1069"/>
      <c r="AU21" s="1061"/>
      <c r="AV21" s="1061"/>
      <c r="AW21" s="1061"/>
      <c r="AX21" s="1069"/>
      <c r="AY21" s="1061"/>
      <c r="AZ21" s="1061"/>
      <c r="BA21" s="1061"/>
      <c r="BB21" s="1069"/>
      <c r="BC21" s="1061"/>
      <c r="BD21" s="1061"/>
      <c r="BE21" s="1061"/>
      <c r="BF21" s="1061"/>
      <c r="BG21" s="1061"/>
      <c r="BH21" s="1061"/>
      <c r="BI21" s="1061"/>
      <c r="BJ21" s="1061"/>
      <c r="BK21" s="1070"/>
      <c r="BL21" s="1070"/>
      <c r="BM21" s="1070"/>
      <c r="BN21" s="1070"/>
      <c r="BO21" s="1064"/>
      <c r="BP21" s="1064"/>
      <c r="BQ21" s="1064"/>
      <c r="BR21" s="1064"/>
      <c r="BS21" s="1061"/>
      <c r="BT21" s="1061"/>
      <c r="BU21" s="1061"/>
      <c r="BV21" s="1069"/>
      <c r="BW21" s="1064"/>
      <c r="BX21" s="1064"/>
      <c r="BY21" s="1064"/>
      <c r="BZ21" s="1066"/>
      <c r="CA21" s="825"/>
      <c r="CB21" s="823"/>
      <c r="CC21" s="823"/>
      <c r="CD21" s="823"/>
      <c r="CE21" s="823"/>
      <c r="CF21" s="823"/>
      <c r="CG21" s="823"/>
      <c r="CH21" s="823"/>
      <c r="CI21" s="823"/>
    </row>
    <row r="22" spans="1:87" ht="9.9499999999999993" customHeight="1">
      <c r="A22" s="1407"/>
      <c r="B22" s="1407"/>
      <c r="C22" s="1407"/>
      <c r="D22" s="1398"/>
      <c r="E22" s="1398"/>
      <c r="F22" s="1398"/>
      <c r="G22" s="1450"/>
      <c r="H22" s="1451"/>
      <c r="I22" s="1451"/>
      <c r="J22" s="1451"/>
      <c r="K22" s="1451"/>
      <c r="L22" s="1451"/>
      <c r="M22" s="1451"/>
      <c r="N22" s="1451"/>
      <c r="O22" s="1451"/>
      <c r="P22" s="1451"/>
      <c r="Q22" s="1451"/>
      <c r="R22" s="1451"/>
      <c r="S22" s="1451"/>
      <c r="T22" s="1451"/>
      <c r="U22" s="1451"/>
      <c r="V22" s="1452"/>
      <c r="W22" s="1067"/>
      <c r="X22" s="1067"/>
      <c r="Y22" s="1067"/>
      <c r="Z22" s="1067"/>
      <c r="AA22" s="1061"/>
      <c r="AB22" s="1061"/>
      <c r="AC22" s="1061"/>
      <c r="AD22" s="1069"/>
      <c r="AE22" s="1061"/>
      <c r="AF22" s="1061"/>
      <c r="AG22" s="1061"/>
      <c r="AH22" s="1069"/>
      <c r="AI22" s="1061"/>
      <c r="AJ22" s="1061"/>
      <c r="AK22" s="1061"/>
      <c r="AL22" s="1069"/>
      <c r="AM22" s="1061"/>
      <c r="AN22" s="1061"/>
      <c r="AO22" s="1061"/>
      <c r="AP22" s="1069"/>
      <c r="AQ22" s="1061"/>
      <c r="AR22" s="1061"/>
      <c r="AS22" s="1061"/>
      <c r="AT22" s="1069"/>
      <c r="AU22" s="1061"/>
      <c r="AV22" s="1061"/>
      <c r="AW22" s="1061"/>
      <c r="AX22" s="1069"/>
      <c r="AY22" s="1061"/>
      <c r="AZ22" s="1061"/>
      <c r="BA22" s="1061"/>
      <c r="BB22" s="1069"/>
      <c r="BC22" s="1061"/>
      <c r="BD22" s="1061"/>
      <c r="BE22" s="1061"/>
      <c r="BF22" s="1061"/>
      <c r="BG22" s="1061"/>
      <c r="BH22" s="1061"/>
      <c r="BI22" s="1061"/>
      <c r="BJ22" s="1061"/>
      <c r="BK22" s="1070"/>
      <c r="BL22" s="1070"/>
      <c r="BM22" s="1070"/>
      <c r="BN22" s="1070"/>
      <c r="BO22" s="1064"/>
      <c r="BP22" s="1064"/>
      <c r="BQ22" s="1064"/>
      <c r="BR22" s="1064"/>
      <c r="BS22" s="1061"/>
      <c r="BT22" s="1061"/>
      <c r="BU22" s="1061"/>
      <c r="BV22" s="1069"/>
      <c r="BW22" s="1064"/>
      <c r="BX22" s="1064"/>
      <c r="BY22" s="1064"/>
      <c r="BZ22" s="1066"/>
      <c r="CA22" s="825"/>
      <c r="CB22" s="823"/>
      <c r="CC22" s="823"/>
      <c r="CD22" s="823"/>
      <c r="CE22" s="823"/>
      <c r="CF22" s="823"/>
      <c r="CG22" s="823"/>
      <c r="CH22" s="823"/>
      <c r="CI22" s="823"/>
    </row>
    <row r="23" spans="1:87" ht="9.9499999999999993" customHeight="1">
      <c r="A23" s="1415" t="s">
        <v>43</v>
      </c>
      <c r="B23" s="1415"/>
      <c r="C23" s="1415"/>
      <c r="D23" s="1398"/>
      <c r="E23" s="1398"/>
      <c r="F23" s="1398"/>
      <c r="G23" s="1450"/>
      <c r="H23" s="1451"/>
      <c r="I23" s="1451"/>
      <c r="J23" s="1451"/>
      <c r="K23" s="1451"/>
      <c r="L23" s="1451"/>
      <c r="M23" s="1451"/>
      <c r="N23" s="1451"/>
      <c r="O23" s="1451"/>
      <c r="P23" s="1451"/>
      <c r="Q23" s="1451"/>
      <c r="R23" s="1451"/>
      <c r="S23" s="1451"/>
      <c r="T23" s="1451"/>
      <c r="U23" s="1451"/>
      <c r="V23" s="1452"/>
      <c r="W23" s="1067"/>
      <c r="X23" s="1067"/>
      <c r="Y23" s="1067"/>
      <c r="Z23" s="1067"/>
      <c r="AA23" s="1061"/>
      <c r="AB23" s="1061"/>
      <c r="AC23" s="1061"/>
      <c r="AD23" s="1069"/>
      <c r="AE23" s="1061"/>
      <c r="AF23" s="1061"/>
      <c r="AG23" s="1061"/>
      <c r="AH23" s="1069"/>
      <c r="AI23" s="1061"/>
      <c r="AJ23" s="1061"/>
      <c r="AK23" s="1061"/>
      <c r="AL23" s="1069"/>
      <c r="AM23" s="1061"/>
      <c r="AN23" s="1061"/>
      <c r="AO23" s="1061"/>
      <c r="AP23" s="1069"/>
      <c r="AQ23" s="1061"/>
      <c r="AR23" s="1061"/>
      <c r="AS23" s="1061"/>
      <c r="AT23" s="1069"/>
      <c r="AU23" s="1061"/>
      <c r="AV23" s="1061"/>
      <c r="AW23" s="1061"/>
      <c r="AX23" s="1069"/>
      <c r="AY23" s="1061"/>
      <c r="AZ23" s="1061"/>
      <c r="BA23" s="1061"/>
      <c r="BB23" s="1069"/>
      <c r="BC23" s="1061"/>
      <c r="BD23" s="1061"/>
      <c r="BE23" s="1061"/>
      <c r="BF23" s="1061"/>
      <c r="BG23" s="1061"/>
      <c r="BH23" s="1061"/>
      <c r="BI23" s="1061"/>
      <c r="BJ23" s="1061"/>
      <c r="BK23" s="1070"/>
      <c r="BL23" s="1070"/>
      <c r="BM23" s="1070"/>
      <c r="BN23" s="1070"/>
      <c r="BO23" s="1064"/>
      <c r="BP23" s="1064"/>
      <c r="BQ23" s="1064"/>
      <c r="BR23" s="1064"/>
      <c r="BS23" s="1061"/>
      <c r="BT23" s="1061"/>
      <c r="BU23" s="1061"/>
      <c r="BV23" s="1069"/>
      <c r="BW23" s="1064"/>
      <c r="BX23" s="1064"/>
      <c r="BY23" s="1064"/>
      <c r="BZ23" s="1066"/>
      <c r="CA23" s="824"/>
      <c r="CB23" s="823"/>
      <c r="CC23" s="823"/>
      <c r="CD23" s="823"/>
      <c r="CE23" s="823"/>
      <c r="CF23" s="823"/>
      <c r="CG23" s="823"/>
      <c r="CH23" s="823"/>
      <c r="CI23" s="823"/>
    </row>
    <row r="24" spans="1:87" ht="9.9499999999999993" customHeight="1">
      <c r="A24" s="1444" t="str">
        <f>AU4</f>
        <v/>
      </c>
      <c r="B24" s="1444"/>
      <c r="C24" s="1444"/>
      <c r="D24" s="1398"/>
      <c r="E24" s="1398"/>
      <c r="F24" s="1398"/>
      <c r="G24" s="1450"/>
      <c r="H24" s="1451"/>
      <c r="I24" s="1451"/>
      <c r="J24" s="1451"/>
      <c r="K24" s="1451"/>
      <c r="L24" s="1451"/>
      <c r="M24" s="1451"/>
      <c r="N24" s="1451"/>
      <c r="O24" s="1451"/>
      <c r="P24" s="1451"/>
      <c r="Q24" s="1451"/>
      <c r="R24" s="1451"/>
      <c r="S24" s="1451"/>
      <c r="T24" s="1451"/>
      <c r="U24" s="1451"/>
      <c r="V24" s="1452"/>
      <c r="W24" s="1067"/>
      <c r="X24" s="1067"/>
      <c r="Y24" s="1067"/>
      <c r="Z24" s="1067"/>
      <c r="AA24" s="1061"/>
      <c r="AB24" s="1061"/>
      <c r="AC24" s="1061"/>
      <c r="AD24" s="1069"/>
      <c r="AE24" s="1061"/>
      <c r="AF24" s="1061"/>
      <c r="AG24" s="1061"/>
      <c r="AH24" s="1069"/>
      <c r="AI24" s="1061"/>
      <c r="AJ24" s="1061"/>
      <c r="AK24" s="1061"/>
      <c r="AL24" s="1069"/>
      <c r="AM24" s="1061"/>
      <c r="AN24" s="1061"/>
      <c r="AO24" s="1061"/>
      <c r="AP24" s="1069"/>
      <c r="AQ24" s="1061"/>
      <c r="AR24" s="1061"/>
      <c r="AS24" s="1061"/>
      <c r="AT24" s="1069"/>
      <c r="AU24" s="1061"/>
      <c r="AV24" s="1061"/>
      <c r="AW24" s="1061"/>
      <c r="AX24" s="1069"/>
      <c r="AY24" s="1061"/>
      <c r="AZ24" s="1061"/>
      <c r="BA24" s="1061"/>
      <c r="BB24" s="1069"/>
      <c r="BC24" s="1061"/>
      <c r="BD24" s="1061"/>
      <c r="BE24" s="1061"/>
      <c r="BF24" s="1061"/>
      <c r="BG24" s="1061"/>
      <c r="BH24" s="1061"/>
      <c r="BI24" s="1061"/>
      <c r="BJ24" s="1061"/>
      <c r="BK24" s="1070"/>
      <c r="BL24" s="1070"/>
      <c r="BM24" s="1070"/>
      <c r="BN24" s="1070"/>
      <c r="BO24" s="1064"/>
      <c r="BP24" s="1064"/>
      <c r="BQ24" s="1064"/>
      <c r="BR24" s="1064"/>
      <c r="BS24" s="1061"/>
      <c r="BT24" s="1061"/>
      <c r="BU24" s="1061"/>
      <c r="BV24" s="1069"/>
      <c r="BW24" s="1064"/>
      <c r="BX24" s="1064"/>
      <c r="BY24" s="1064"/>
      <c r="BZ24" s="1066"/>
      <c r="CA24" s="824"/>
      <c r="CB24" s="823"/>
      <c r="CC24" s="823"/>
      <c r="CD24" s="823"/>
      <c r="CE24" s="823"/>
      <c r="CF24" s="823"/>
      <c r="CG24" s="823"/>
      <c r="CH24" s="823"/>
      <c r="CI24" s="823"/>
    </row>
    <row r="25" spans="1:87" ht="9.9499999999999993" customHeight="1">
      <c r="A25" s="1445"/>
      <c r="B25" s="1445"/>
      <c r="C25" s="1445"/>
      <c r="D25" s="1398"/>
      <c r="E25" s="1398"/>
      <c r="F25" s="1398"/>
      <c r="G25" s="1450"/>
      <c r="H25" s="1451"/>
      <c r="I25" s="1451"/>
      <c r="J25" s="1451"/>
      <c r="K25" s="1451"/>
      <c r="L25" s="1451"/>
      <c r="M25" s="1451"/>
      <c r="N25" s="1451"/>
      <c r="O25" s="1451"/>
      <c r="P25" s="1451"/>
      <c r="Q25" s="1451"/>
      <c r="R25" s="1451"/>
      <c r="S25" s="1451"/>
      <c r="T25" s="1451"/>
      <c r="U25" s="1451"/>
      <c r="V25" s="1452"/>
      <c r="W25" s="1067"/>
      <c r="X25" s="1067"/>
      <c r="Y25" s="1067"/>
      <c r="Z25" s="1067"/>
      <c r="AA25" s="1061"/>
      <c r="AB25" s="1061"/>
      <c r="AC25" s="1061"/>
      <c r="AD25" s="1069"/>
      <c r="AE25" s="1061"/>
      <c r="AF25" s="1061"/>
      <c r="AG25" s="1061"/>
      <c r="AH25" s="1069"/>
      <c r="AI25" s="1061"/>
      <c r="AJ25" s="1061"/>
      <c r="AK25" s="1061"/>
      <c r="AL25" s="1069"/>
      <c r="AM25" s="1061"/>
      <c r="AN25" s="1061"/>
      <c r="AO25" s="1061"/>
      <c r="AP25" s="1069"/>
      <c r="AQ25" s="1061"/>
      <c r="AR25" s="1061"/>
      <c r="AS25" s="1061"/>
      <c r="AT25" s="1069"/>
      <c r="AU25" s="1061"/>
      <c r="AV25" s="1061"/>
      <c r="AW25" s="1061"/>
      <c r="AX25" s="1069"/>
      <c r="AY25" s="1061"/>
      <c r="AZ25" s="1061"/>
      <c r="BA25" s="1061"/>
      <c r="BB25" s="1069"/>
      <c r="BC25" s="1061"/>
      <c r="BD25" s="1061"/>
      <c r="BE25" s="1061"/>
      <c r="BF25" s="1061"/>
      <c r="BG25" s="1061"/>
      <c r="BH25" s="1061"/>
      <c r="BI25" s="1061"/>
      <c r="BJ25" s="1061"/>
      <c r="BK25" s="1070"/>
      <c r="BL25" s="1070"/>
      <c r="BM25" s="1070"/>
      <c r="BN25" s="1070"/>
      <c r="BO25" s="1064"/>
      <c r="BP25" s="1064"/>
      <c r="BQ25" s="1064"/>
      <c r="BR25" s="1064"/>
      <c r="BS25" s="1061"/>
      <c r="BT25" s="1061"/>
      <c r="BU25" s="1061"/>
      <c r="BV25" s="1069"/>
      <c r="BW25" s="1064"/>
      <c r="BX25" s="1064"/>
      <c r="BY25" s="1064"/>
      <c r="BZ25" s="1066"/>
      <c r="CA25" s="824"/>
      <c r="CB25" s="823"/>
      <c r="CC25" s="823"/>
      <c r="CD25" s="823"/>
      <c r="CE25" s="823"/>
      <c r="CF25" s="823"/>
      <c r="CG25" s="823"/>
      <c r="CH25" s="823"/>
      <c r="CI25" s="823"/>
    </row>
    <row r="26" spans="1:87" ht="9.9499999999999993" customHeight="1">
      <c r="A26" s="1391" t="s">
        <v>42</v>
      </c>
      <c r="B26" s="1392"/>
      <c r="C26" s="1393"/>
      <c r="D26" s="1398"/>
      <c r="E26" s="1398"/>
      <c r="F26" s="1398"/>
      <c r="G26" s="1453"/>
      <c r="H26" s="1454"/>
      <c r="I26" s="1454"/>
      <c r="J26" s="1454"/>
      <c r="K26" s="1454"/>
      <c r="L26" s="1454"/>
      <c r="M26" s="1454"/>
      <c r="N26" s="1454"/>
      <c r="O26" s="1454"/>
      <c r="P26" s="1454"/>
      <c r="Q26" s="1454"/>
      <c r="R26" s="1454"/>
      <c r="S26" s="1454"/>
      <c r="T26" s="1454"/>
      <c r="U26" s="1454"/>
      <c r="V26" s="1455"/>
      <c r="W26" s="1071"/>
      <c r="X26" s="1071"/>
      <c r="Y26" s="1071"/>
      <c r="Z26" s="1071"/>
      <c r="AA26" s="1074"/>
      <c r="AB26" s="1074"/>
      <c r="AC26" s="1074"/>
      <c r="AD26" s="1075"/>
      <c r="AE26" s="1074"/>
      <c r="AF26" s="1074"/>
      <c r="AG26" s="1074"/>
      <c r="AH26" s="1075"/>
      <c r="AI26" s="1074"/>
      <c r="AJ26" s="1074"/>
      <c r="AK26" s="1074"/>
      <c r="AL26" s="1075"/>
      <c r="AM26" s="1074"/>
      <c r="AN26" s="1074"/>
      <c r="AO26" s="1074"/>
      <c r="AP26" s="1075"/>
      <c r="AQ26" s="1074"/>
      <c r="AR26" s="1074"/>
      <c r="AS26" s="1074"/>
      <c r="AT26" s="1075"/>
      <c r="AU26" s="1074"/>
      <c r="AV26" s="1074"/>
      <c r="AW26" s="1074"/>
      <c r="AX26" s="1075"/>
      <c r="AY26" s="1074"/>
      <c r="AZ26" s="1074"/>
      <c r="BA26" s="1074"/>
      <c r="BB26" s="1075"/>
      <c r="BC26" s="1074"/>
      <c r="BD26" s="1074"/>
      <c r="BE26" s="1074"/>
      <c r="BF26" s="1074"/>
      <c r="BG26" s="1074"/>
      <c r="BH26" s="1074"/>
      <c r="BI26" s="1074"/>
      <c r="BJ26" s="1074"/>
      <c r="BK26" s="829"/>
      <c r="BL26" s="829"/>
      <c r="BM26" s="829"/>
      <c r="BN26" s="829"/>
      <c r="BO26" s="1072"/>
      <c r="BP26" s="1072"/>
      <c r="BQ26" s="1072"/>
      <c r="BR26" s="1072"/>
      <c r="BS26" s="1074"/>
      <c r="BT26" s="1074"/>
      <c r="BU26" s="1074"/>
      <c r="BV26" s="1075"/>
      <c r="BW26" s="1074"/>
      <c r="BX26" s="1074"/>
      <c r="BY26" s="1074"/>
      <c r="BZ26" s="1076"/>
      <c r="CA26" s="826"/>
      <c r="CB26" s="823"/>
      <c r="CC26" s="823"/>
      <c r="CD26" s="823"/>
      <c r="CE26" s="823"/>
      <c r="CF26" s="823"/>
      <c r="CG26" s="823"/>
      <c r="CH26" s="823"/>
      <c r="CI26" s="823"/>
    </row>
    <row r="27" spans="1:87" ht="9.9499999999999993" customHeight="1">
      <c r="A27" s="1394" t="str">
        <f>BA4</f>
        <v/>
      </c>
      <c r="B27" s="1395"/>
      <c r="C27" s="1396"/>
      <c r="D27" s="1397" t="s">
        <v>81</v>
      </c>
      <c r="E27" s="1397"/>
      <c r="F27" s="1397"/>
      <c r="G27" s="827"/>
      <c r="H27" s="1070"/>
      <c r="I27" s="1070"/>
      <c r="J27" s="1069"/>
      <c r="K27" s="1070"/>
      <c r="L27" s="1064"/>
      <c r="M27" s="1064"/>
      <c r="N27" s="1058"/>
      <c r="O27" s="1058"/>
      <c r="P27" s="1058"/>
      <c r="Q27" s="1058"/>
      <c r="R27" s="1069"/>
      <c r="S27" s="1061"/>
      <c r="T27" s="1061"/>
      <c r="U27" s="1061"/>
      <c r="V27" s="1069"/>
      <c r="W27" s="1061"/>
      <c r="X27" s="1061"/>
      <c r="Y27" s="1064"/>
      <c r="Z27" s="1068"/>
      <c r="AA27" s="1079"/>
      <c r="AB27" s="1061"/>
      <c r="AC27" s="1061"/>
      <c r="AD27" s="1069"/>
      <c r="AE27" s="1061"/>
      <c r="AF27" s="1061"/>
      <c r="AG27" s="1061"/>
      <c r="AH27" s="1069"/>
      <c r="AI27" s="1064"/>
      <c r="AJ27" s="1064"/>
      <c r="AK27" s="1061"/>
      <c r="AL27" s="1069"/>
      <c r="AM27" s="1061"/>
      <c r="AN27" s="1061"/>
      <c r="AO27" s="1061"/>
      <c r="AP27" s="1069"/>
      <c r="AQ27" s="1061"/>
      <c r="AR27" s="1061"/>
      <c r="AS27" s="1061"/>
      <c r="AT27" s="1069"/>
      <c r="AU27" s="1061"/>
      <c r="AV27" s="1061"/>
      <c r="AW27" s="1061"/>
      <c r="AX27" s="1069"/>
      <c r="AY27" s="1061"/>
      <c r="AZ27" s="1061"/>
      <c r="BA27" s="1061"/>
      <c r="BB27" s="1069"/>
      <c r="BC27" s="1061"/>
      <c r="BD27" s="1061"/>
      <c r="BE27" s="1061"/>
      <c r="BF27" s="1069"/>
      <c r="BG27" s="1061"/>
      <c r="BH27" s="1061"/>
      <c r="BI27" s="1061"/>
      <c r="BJ27" s="1069"/>
      <c r="BK27" s="1061"/>
      <c r="BL27" s="1061"/>
      <c r="BM27" s="1061"/>
      <c r="BN27" s="1069"/>
      <c r="BO27" s="1061"/>
      <c r="BP27" s="1061"/>
      <c r="BQ27" s="1061"/>
      <c r="BR27" s="1069"/>
      <c r="BS27" s="1061"/>
      <c r="BT27" s="1061"/>
      <c r="BU27" s="1061"/>
      <c r="BV27" s="1069"/>
      <c r="BW27" s="1061"/>
      <c r="BX27" s="1061"/>
      <c r="BY27" s="1061"/>
      <c r="BZ27" s="1066"/>
      <c r="CA27" s="824"/>
      <c r="CB27" s="823"/>
      <c r="CC27" s="823"/>
      <c r="CD27" s="823"/>
      <c r="CE27" s="823"/>
      <c r="CF27" s="823"/>
      <c r="CG27" s="823"/>
      <c r="CH27" s="823"/>
      <c r="CI27" s="823"/>
    </row>
    <row r="28" spans="1:87" ht="9.9499999999999993" customHeight="1">
      <c r="A28" s="1394"/>
      <c r="B28" s="1395"/>
      <c r="C28" s="1396"/>
      <c r="D28" s="1398"/>
      <c r="E28" s="1398"/>
      <c r="F28" s="1398"/>
      <c r="G28" s="827"/>
      <c r="H28" s="1070"/>
      <c r="I28" s="1070"/>
      <c r="J28" s="1069"/>
      <c r="K28" s="1064"/>
      <c r="L28" s="1064"/>
      <c r="M28" s="1064"/>
      <c r="N28" s="1064"/>
      <c r="O28" s="1064"/>
      <c r="P28" s="1064"/>
      <c r="Q28" s="1064"/>
      <c r="R28" s="1069"/>
      <c r="S28" s="1061"/>
      <c r="T28" s="1061"/>
      <c r="U28" s="1064"/>
      <c r="V28" s="1068"/>
      <c r="W28" s="1064"/>
      <c r="X28" s="1064"/>
      <c r="Y28" s="1064"/>
      <c r="Z28" s="1068"/>
      <c r="AA28" s="1061"/>
      <c r="AB28" s="1061"/>
      <c r="AC28" s="1061"/>
      <c r="AD28" s="1069"/>
      <c r="AE28" s="1061"/>
      <c r="AF28" s="1061"/>
      <c r="AG28" s="1061"/>
      <c r="AH28" s="1069"/>
      <c r="AI28" s="1064"/>
      <c r="AJ28" s="1064"/>
      <c r="AK28" s="1061"/>
      <c r="AL28" s="1069"/>
      <c r="AM28" s="1061"/>
      <c r="AN28" s="1061"/>
      <c r="AO28" s="1061"/>
      <c r="AP28" s="1069"/>
      <c r="AQ28" s="1061"/>
      <c r="AR28" s="1061"/>
      <c r="AS28" s="1061"/>
      <c r="AT28" s="1069"/>
      <c r="AU28" s="1061"/>
      <c r="AV28" s="1061"/>
      <c r="AW28" s="1061"/>
      <c r="AX28" s="1069"/>
      <c r="AY28" s="1061"/>
      <c r="AZ28" s="1061"/>
      <c r="BA28" s="1061"/>
      <c r="BB28" s="1069"/>
      <c r="BC28" s="1061"/>
      <c r="BD28" s="1061"/>
      <c r="BE28" s="1061"/>
      <c r="BF28" s="1069"/>
      <c r="BG28" s="1061"/>
      <c r="BH28" s="1061"/>
      <c r="BI28" s="1061"/>
      <c r="BJ28" s="1069"/>
      <c r="BK28" s="1061"/>
      <c r="BL28" s="1061"/>
      <c r="BM28" s="1061"/>
      <c r="BN28" s="1069"/>
      <c r="BO28" s="1061"/>
      <c r="BP28" s="1061"/>
      <c r="BQ28" s="1061"/>
      <c r="BR28" s="1069"/>
      <c r="BS28" s="1061"/>
      <c r="BT28" s="1061"/>
      <c r="BU28" s="1061"/>
      <c r="BV28" s="1069"/>
      <c r="BW28" s="1064"/>
      <c r="BX28" s="1064"/>
      <c r="BY28" s="1064"/>
      <c r="BZ28" s="1066"/>
      <c r="CA28" s="824"/>
      <c r="CB28" s="823"/>
      <c r="CC28" s="823"/>
      <c r="CD28" s="823"/>
      <c r="CE28" s="823"/>
      <c r="CF28" s="823"/>
      <c r="CG28" s="823"/>
      <c r="CH28" s="823"/>
      <c r="CI28" s="823"/>
    </row>
    <row r="29" spans="1:87" ht="9.9499999999999993" customHeight="1">
      <c r="A29" s="1394"/>
      <c r="B29" s="1395"/>
      <c r="C29" s="1396"/>
      <c r="D29" s="1398"/>
      <c r="E29" s="1398"/>
      <c r="F29" s="1398"/>
      <c r="G29" s="827"/>
      <c r="H29" s="1070"/>
      <c r="I29" s="1070"/>
      <c r="J29" s="1069"/>
      <c r="K29" s="1064"/>
      <c r="L29" s="1064"/>
      <c r="M29" s="1064"/>
      <c r="N29" s="1064"/>
      <c r="O29" s="1064"/>
      <c r="P29" s="1064"/>
      <c r="Q29" s="1064"/>
      <c r="R29" s="1069"/>
      <c r="S29" s="1061"/>
      <c r="T29" s="1061"/>
      <c r="U29" s="1064"/>
      <c r="V29" s="1068"/>
      <c r="W29" s="1064"/>
      <c r="X29" s="1064"/>
      <c r="Y29" s="1064"/>
      <c r="Z29" s="1068"/>
      <c r="AA29" s="1061"/>
      <c r="AB29" s="1061"/>
      <c r="AC29" s="1061"/>
      <c r="AD29" s="1069"/>
      <c r="AE29" s="1061"/>
      <c r="AF29" s="1061"/>
      <c r="AG29" s="1061"/>
      <c r="AH29" s="1069"/>
      <c r="AI29" s="1064"/>
      <c r="AJ29" s="1064"/>
      <c r="AK29" s="1061"/>
      <c r="AL29" s="1069"/>
      <c r="AM29" s="1061"/>
      <c r="AN29" s="1061"/>
      <c r="AO29" s="1061"/>
      <c r="AP29" s="1069"/>
      <c r="AQ29" s="1061"/>
      <c r="AR29" s="1061"/>
      <c r="AS29" s="1061"/>
      <c r="AT29" s="1069"/>
      <c r="AU29" s="1061"/>
      <c r="AV29" s="1061"/>
      <c r="AW29" s="1061"/>
      <c r="AX29" s="1069"/>
      <c r="AY29" s="1061"/>
      <c r="AZ29" s="1061"/>
      <c r="BA29" s="1061"/>
      <c r="BB29" s="1069"/>
      <c r="BC29" s="1061"/>
      <c r="BD29" s="1061"/>
      <c r="BE29" s="1061"/>
      <c r="BF29" s="1069"/>
      <c r="BG29" s="1061"/>
      <c r="BH29" s="1061"/>
      <c r="BI29" s="1061"/>
      <c r="BJ29" s="1069"/>
      <c r="BK29" s="1061"/>
      <c r="BL29" s="1061"/>
      <c r="BM29" s="1061"/>
      <c r="BN29" s="1069"/>
      <c r="BO29" s="1061"/>
      <c r="BP29" s="1061"/>
      <c r="BQ29" s="1061"/>
      <c r="BR29" s="1069"/>
      <c r="BS29" s="1061"/>
      <c r="BT29" s="1061"/>
      <c r="BU29" s="1061"/>
      <c r="BV29" s="1069"/>
      <c r="BW29" s="1064"/>
      <c r="BX29" s="1064"/>
      <c r="BY29" s="1064"/>
      <c r="BZ29" s="1066"/>
      <c r="CA29" s="825"/>
      <c r="CB29" s="823"/>
      <c r="CC29" s="823"/>
      <c r="CD29" s="823"/>
      <c r="CE29" s="823"/>
      <c r="CF29" s="823"/>
      <c r="CG29" s="823"/>
      <c r="CH29" s="823"/>
      <c r="CI29" s="823"/>
    </row>
    <row r="30" spans="1:87" ht="9.9499999999999993" customHeight="1">
      <c r="A30" s="1405" t="s">
        <v>17</v>
      </c>
      <c r="B30" s="1405"/>
      <c r="C30" s="1405"/>
      <c r="D30" s="1398"/>
      <c r="E30" s="1398"/>
      <c r="F30" s="1398"/>
      <c r="G30" s="827"/>
      <c r="H30" s="1070"/>
      <c r="I30" s="1070"/>
      <c r="J30" s="1069"/>
      <c r="K30" s="1064"/>
      <c r="L30" s="1064"/>
      <c r="M30" s="1064"/>
      <c r="N30" s="1064"/>
      <c r="O30" s="1064"/>
      <c r="P30" s="1064"/>
      <c r="Q30" s="1064"/>
      <c r="R30" s="1069"/>
      <c r="S30" s="1061"/>
      <c r="T30" s="1061"/>
      <c r="U30" s="1064"/>
      <c r="V30" s="1068"/>
      <c r="W30" s="1064"/>
      <c r="X30" s="1064"/>
      <c r="Y30" s="1064"/>
      <c r="Z30" s="1068"/>
      <c r="AA30" s="1061"/>
      <c r="AB30" s="1061"/>
      <c r="AC30" s="1061"/>
      <c r="AD30" s="1069"/>
      <c r="AE30" s="1061"/>
      <c r="AF30" s="1061"/>
      <c r="AG30" s="1061"/>
      <c r="AH30" s="1069"/>
      <c r="AI30" s="1064"/>
      <c r="AJ30" s="1064"/>
      <c r="AK30" s="1061"/>
      <c r="AL30" s="1069"/>
      <c r="AM30" s="1061"/>
      <c r="AN30" s="1061"/>
      <c r="AO30" s="1061"/>
      <c r="AP30" s="1069"/>
      <c r="AQ30" s="1061"/>
      <c r="AR30" s="1061"/>
      <c r="AS30" s="1061"/>
      <c r="AT30" s="1069"/>
      <c r="AU30" s="1061"/>
      <c r="AV30" s="1061"/>
      <c r="AW30" s="1061"/>
      <c r="AX30" s="1069"/>
      <c r="AY30" s="1061"/>
      <c r="AZ30" s="1061"/>
      <c r="BA30" s="1061"/>
      <c r="BB30" s="1069"/>
      <c r="BC30" s="1061"/>
      <c r="BD30" s="1061"/>
      <c r="BE30" s="1061"/>
      <c r="BF30" s="1069"/>
      <c r="BG30" s="1061"/>
      <c r="BH30" s="1061"/>
      <c r="BI30" s="1061"/>
      <c r="BJ30" s="1069"/>
      <c r="BK30" s="1061"/>
      <c r="BL30" s="1061"/>
      <c r="BM30" s="1061"/>
      <c r="BN30" s="1069"/>
      <c r="BO30" s="1061"/>
      <c r="BP30" s="1061"/>
      <c r="BQ30" s="1061"/>
      <c r="BR30" s="1069"/>
      <c r="BS30" s="1061"/>
      <c r="BT30" s="1061"/>
      <c r="BU30" s="1061"/>
      <c r="BV30" s="1069"/>
      <c r="BW30" s="1064"/>
      <c r="BX30" s="1064"/>
      <c r="BY30" s="1064"/>
      <c r="BZ30" s="1066"/>
      <c r="CA30" s="825"/>
      <c r="CB30" s="823"/>
      <c r="CC30" s="823"/>
      <c r="CD30" s="823"/>
      <c r="CE30" s="823"/>
      <c r="CF30" s="823"/>
      <c r="CG30" s="823"/>
      <c r="CH30" s="823"/>
      <c r="CI30" s="823"/>
    </row>
    <row r="31" spans="1:87" ht="9.9499999999999993" customHeight="1">
      <c r="A31" s="1406"/>
      <c r="B31" s="1406"/>
      <c r="C31" s="1406"/>
      <c r="D31" s="1398"/>
      <c r="E31" s="1398"/>
      <c r="F31" s="1398"/>
      <c r="G31" s="827"/>
      <c r="H31" s="1070"/>
      <c r="I31" s="1070"/>
      <c r="J31" s="1069"/>
      <c r="K31" s="1064"/>
      <c r="L31" s="1064"/>
      <c r="M31" s="1064"/>
      <c r="N31" s="1064"/>
      <c r="O31" s="1064"/>
      <c r="P31" s="1064"/>
      <c r="Q31" s="1064"/>
      <c r="R31" s="1069"/>
      <c r="S31" s="1061"/>
      <c r="T31" s="1061"/>
      <c r="U31" s="1064"/>
      <c r="V31" s="1068"/>
      <c r="W31" s="1064"/>
      <c r="X31" s="1064"/>
      <c r="Y31" s="1064"/>
      <c r="Z31" s="1068"/>
      <c r="AA31" s="1061"/>
      <c r="AB31" s="1061"/>
      <c r="AC31" s="1061"/>
      <c r="AD31" s="1069"/>
      <c r="AE31" s="1061"/>
      <c r="AF31" s="1061"/>
      <c r="AG31" s="1061"/>
      <c r="AH31" s="1069"/>
      <c r="AI31" s="1064"/>
      <c r="AJ31" s="1064"/>
      <c r="AK31" s="1061"/>
      <c r="AL31" s="1069"/>
      <c r="AM31" s="1061"/>
      <c r="AN31" s="1061"/>
      <c r="AO31" s="1061"/>
      <c r="AP31" s="1069"/>
      <c r="AQ31" s="1061"/>
      <c r="AR31" s="1061"/>
      <c r="AS31" s="1061"/>
      <c r="AT31" s="1069"/>
      <c r="AU31" s="1061"/>
      <c r="AV31" s="1061"/>
      <c r="AW31" s="1061"/>
      <c r="AX31" s="1069"/>
      <c r="AY31" s="1061"/>
      <c r="AZ31" s="1061"/>
      <c r="BA31" s="1061"/>
      <c r="BB31" s="1069"/>
      <c r="BC31" s="1061"/>
      <c r="BD31" s="1061"/>
      <c r="BE31" s="1061"/>
      <c r="BF31" s="1069"/>
      <c r="BG31" s="1061"/>
      <c r="BH31" s="1061"/>
      <c r="BI31" s="1061"/>
      <c r="BJ31" s="1069"/>
      <c r="BK31" s="1061"/>
      <c r="BL31" s="1061"/>
      <c r="BM31" s="1061"/>
      <c r="BN31" s="1069"/>
      <c r="BO31" s="1061"/>
      <c r="BP31" s="1061"/>
      <c r="BQ31" s="1061"/>
      <c r="BR31" s="1069"/>
      <c r="BS31" s="1061"/>
      <c r="BT31" s="1061"/>
      <c r="BU31" s="1061"/>
      <c r="BV31" s="1069"/>
      <c r="BW31" s="1064"/>
      <c r="BX31" s="1064"/>
      <c r="BY31" s="1064"/>
      <c r="BZ31" s="1066"/>
      <c r="CA31" s="824"/>
      <c r="CB31" s="823"/>
      <c r="CC31" s="823"/>
      <c r="CD31" s="823"/>
      <c r="CE31" s="823"/>
      <c r="CF31" s="823"/>
      <c r="CG31" s="823"/>
      <c r="CH31" s="823"/>
      <c r="CI31" s="823"/>
    </row>
    <row r="32" spans="1:87" ht="9.9499999999999993" customHeight="1">
      <c r="A32" s="1407"/>
      <c r="B32" s="1407"/>
      <c r="C32" s="1407"/>
      <c r="D32" s="1398"/>
      <c r="E32" s="1398"/>
      <c r="F32" s="1398"/>
      <c r="G32" s="827"/>
      <c r="H32" s="1070"/>
      <c r="I32" s="1070"/>
      <c r="J32" s="1069"/>
      <c r="K32" s="1064"/>
      <c r="L32" s="1064"/>
      <c r="M32" s="1064"/>
      <c r="N32" s="1064"/>
      <c r="O32" s="1064"/>
      <c r="P32" s="1064"/>
      <c r="Q32" s="1064"/>
      <c r="R32" s="1069"/>
      <c r="S32" s="1061"/>
      <c r="T32" s="1061"/>
      <c r="U32" s="1064"/>
      <c r="V32" s="1068"/>
      <c r="W32" s="1064"/>
      <c r="X32" s="1064"/>
      <c r="Y32" s="1064"/>
      <c r="Z32" s="1068"/>
      <c r="AA32" s="1061"/>
      <c r="AB32" s="1061"/>
      <c r="AC32" s="1061"/>
      <c r="AD32" s="1069"/>
      <c r="AE32" s="1061"/>
      <c r="AF32" s="1061"/>
      <c r="AG32" s="1061"/>
      <c r="AH32" s="1069"/>
      <c r="AI32" s="1064"/>
      <c r="AJ32" s="1064"/>
      <c r="AK32" s="1061"/>
      <c r="AL32" s="1069"/>
      <c r="AM32" s="1061"/>
      <c r="AN32" s="1061"/>
      <c r="AO32" s="1061"/>
      <c r="AP32" s="1069"/>
      <c r="AQ32" s="1061"/>
      <c r="AR32" s="1061"/>
      <c r="AS32" s="1061"/>
      <c r="AT32" s="1069"/>
      <c r="AU32" s="1061"/>
      <c r="AV32" s="1061"/>
      <c r="AW32" s="1061"/>
      <c r="AX32" s="1069"/>
      <c r="AY32" s="1061"/>
      <c r="AZ32" s="1061"/>
      <c r="BA32" s="1061"/>
      <c r="BB32" s="1069"/>
      <c r="BC32" s="1061"/>
      <c r="BD32" s="1061"/>
      <c r="BE32" s="1061"/>
      <c r="BF32" s="1069"/>
      <c r="BG32" s="1061"/>
      <c r="BH32" s="1061"/>
      <c r="BI32" s="1061"/>
      <c r="BJ32" s="1069"/>
      <c r="BK32" s="1061"/>
      <c r="BL32" s="1061"/>
      <c r="BM32" s="1061"/>
      <c r="BN32" s="1069"/>
      <c r="BO32" s="1061"/>
      <c r="BP32" s="1061"/>
      <c r="BQ32" s="1061"/>
      <c r="BR32" s="1069"/>
      <c r="BS32" s="1061"/>
      <c r="BT32" s="1061"/>
      <c r="BU32" s="1061"/>
      <c r="BV32" s="1069"/>
      <c r="BW32" s="1064"/>
      <c r="BX32" s="1064"/>
      <c r="BY32" s="1064"/>
      <c r="BZ32" s="1066"/>
      <c r="CA32" s="824"/>
      <c r="CB32" s="823"/>
      <c r="CC32" s="823"/>
      <c r="CD32" s="823"/>
      <c r="CE32" s="823"/>
      <c r="CF32" s="823"/>
      <c r="CG32" s="823"/>
      <c r="CH32" s="823"/>
      <c r="CI32" s="823"/>
    </row>
    <row r="33" spans="1:87" ht="9.9499999999999993" customHeight="1" thickBot="1">
      <c r="A33" s="1408" t="str">
        <f>BE4</f>
        <v/>
      </c>
      <c r="B33" s="1409"/>
      <c r="C33" s="1410"/>
      <c r="D33" s="1399"/>
      <c r="E33" s="1399"/>
      <c r="F33" s="1399"/>
      <c r="G33" s="827"/>
      <c r="H33" s="1070"/>
      <c r="I33" s="1070"/>
      <c r="J33" s="1069"/>
      <c r="K33" s="1064"/>
      <c r="L33" s="1064"/>
      <c r="M33" s="1064"/>
      <c r="N33" s="1064"/>
      <c r="O33" s="1064"/>
      <c r="P33" s="1064"/>
      <c r="Q33" s="1064"/>
      <c r="R33" s="1069"/>
      <c r="S33" s="1061"/>
      <c r="T33" s="1061"/>
      <c r="U33" s="1064"/>
      <c r="V33" s="1068"/>
      <c r="W33" s="1064"/>
      <c r="X33" s="1064"/>
      <c r="Y33" s="1064"/>
      <c r="Z33" s="1068"/>
      <c r="AA33" s="1061"/>
      <c r="AB33" s="1061"/>
      <c r="AC33" s="1061"/>
      <c r="AD33" s="1069"/>
      <c r="AE33" s="1061"/>
      <c r="AF33" s="1061"/>
      <c r="AG33" s="1061"/>
      <c r="AH33" s="1069"/>
      <c r="AI33" s="1064"/>
      <c r="AJ33" s="1064"/>
      <c r="AK33" s="1061"/>
      <c r="AL33" s="1069"/>
      <c r="AM33" s="1061"/>
      <c r="AN33" s="1061"/>
      <c r="AO33" s="1061"/>
      <c r="AP33" s="1069"/>
      <c r="AQ33" s="1061"/>
      <c r="AR33" s="1061"/>
      <c r="AS33" s="1061"/>
      <c r="AT33" s="1069"/>
      <c r="AU33" s="1061"/>
      <c r="AV33" s="1061"/>
      <c r="AW33" s="1061"/>
      <c r="AX33" s="1069"/>
      <c r="AY33" s="1061"/>
      <c r="AZ33" s="1061"/>
      <c r="BA33" s="1061"/>
      <c r="BB33" s="1069"/>
      <c r="BC33" s="1061"/>
      <c r="BD33" s="1061"/>
      <c r="BE33" s="1061"/>
      <c r="BF33" s="1069"/>
      <c r="BG33" s="1061"/>
      <c r="BH33" s="1061"/>
      <c r="BI33" s="1061"/>
      <c r="BJ33" s="1069"/>
      <c r="BK33" s="1061"/>
      <c r="BL33" s="1061"/>
      <c r="BM33" s="1061"/>
      <c r="BN33" s="1069"/>
      <c r="BO33" s="1061"/>
      <c r="BP33" s="1061"/>
      <c r="BQ33" s="1061"/>
      <c r="BR33" s="1069"/>
      <c r="BS33" s="1061"/>
      <c r="BT33" s="1061"/>
      <c r="BU33" s="1061"/>
      <c r="BV33" s="1069"/>
      <c r="BW33" s="1064"/>
      <c r="BX33" s="1064"/>
      <c r="BY33" s="1064"/>
      <c r="BZ33" s="1066"/>
      <c r="CA33" s="824"/>
      <c r="CB33" s="823"/>
      <c r="CC33" s="823"/>
      <c r="CD33" s="823"/>
      <c r="CE33" s="823"/>
      <c r="CF33" s="823"/>
      <c r="CG33" s="823"/>
      <c r="CH33" s="823"/>
      <c r="CI33" s="823"/>
    </row>
    <row r="34" spans="1:87" ht="9.9499999999999993" customHeight="1">
      <c r="A34" s="1394"/>
      <c r="B34" s="1395"/>
      <c r="C34" s="1396"/>
      <c r="D34" s="1398"/>
      <c r="E34" s="1398"/>
      <c r="F34" s="1398"/>
      <c r="G34" s="828"/>
      <c r="H34" s="829"/>
      <c r="I34" s="829"/>
      <c r="J34" s="1075"/>
      <c r="K34" s="1072"/>
      <c r="L34" s="1072"/>
      <c r="M34" s="1072"/>
      <c r="N34" s="1072"/>
      <c r="O34" s="1072"/>
      <c r="P34" s="1072"/>
      <c r="Q34" s="1072"/>
      <c r="R34" s="1075"/>
      <c r="S34" s="1074"/>
      <c r="T34" s="1074"/>
      <c r="U34" s="1072"/>
      <c r="V34" s="1073"/>
      <c r="W34" s="1072"/>
      <c r="X34" s="1072"/>
      <c r="Y34" s="1072"/>
      <c r="Z34" s="1073"/>
      <c r="AA34" s="1074"/>
      <c r="AB34" s="1074"/>
      <c r="AC34" s="1074"/>
      <c r="AD34" s="1075"/>
      <c r="AE34" s="1074"/>
      <c r="AF34" s="1074"/>
      <c r="AG34" s="1074"/>
      <c r="AH34" s="1075"/>
      <c r="AI34" s="1072"/>
      <c r="AJ34" s="1072"/>
      <c r="AK34" s="1074"/>
      <c r="AL34" s="1075"/>
      <c r="AM34" s="1074"/>
      <c r="AN34" s="1074"/>
      <c r="AO34" s="1074"/>
      <c r="AP34" s="1075"/>
      <c r="AQ34" s="1074"/>
      <c r="AR34" s="1074"/>
      <c r="AS34" s="1074"/>
      <c r="AT34" s="1075"/>
      <c r="AU34" s="1074"/>
      <c r="AV34" s="1074"/>
      <c r="AW34" s="1074"/>
      <c r="AX34" s="1075"/>
      <c r="AY34" s="1074"/>
      <c r="AZ34" s="1074"/>
      <c r="BA34" s="1074"/>
      <c r="BB34" s="1075"/>
      <c r="BC34" s="1074"/>
      <c r="BD34" s="1074"/>
      <c r="BE34" s="1074"/>
      <c r="BF34" s="1075"/>
      <c r="BG34" s="1074"/>
      <c r="BH34" s="1074"/>
      <c r="BI34" s="1074"/>
      <c r="BJ34" s="1075"/>
      <c r="BK34" s="1074"/>
      <c r="BL34" s="1074"/>
      <c r="BM34" s="1074"/>
      <c r="BN34" s="1075"/>
      <c r="BO34" s="1074"/>
      <c r="BP34" s="1074"/>
      <c r="BQ34" s="1074"/>
      <c r="BR34" s="1075"/>
      <c r="BS34" s="1074"/>
      <c r="BT34" s="1074"/>
      <c r="BU34" s="1074"/>
      <c r="BV34" s="1075"/>
      <c r="BW34" s="1074"/>
      <c r="BX34" s="1074"/>
      <c r="BY34" s="1074"/>
      <c r="BZ34" s="1080"/>
      <c r="CA34" s="826"/>
      <c r="CB34" s="823"/>
      <c r="CC34" s="823"/>
      <c r="CD34" s="823"/>
      <c r="CE34" s="823"/>
      <c r="CF34" s="823"/>
      <c r="CG34" s="823"/>
      <c r="CH34" s="823"/>
      <c r="CI34" s="823"/>
    </row>
    <row r="35" spans="1:87" ht="9.9499999999999993" customHeight="1">
      <c r="A35" s="1394"/>
      <c r="B35" s="1395"/>
      <c r="C35" s="1396"/>
      <c r="D35" s="1398" t="s">
        <v>80</v>
      </c>
      <c r="E35" s="1398"/>
      <c r="F35" s="1398"/>
      <c r="G35" s="830"/>
      <c r="H35" s="831"/>
      <c r="I35" s="831"/>
      <c r="J35" s="1077"/>
      <c r="K35" s="1060"/>
      <c r="L35" s="1060"/>
      <c r="M35" s="1060"/>
      <c r="N35" s="1060"/>
      <c r="O35" s="1064"/>
      <c r="P35" s="1064"/>
      <c r="Q35" s="1058"/>
      <c r="R35" s="1069"/>
      <c r="S35" s="1060"/>
      <c r="T35" s="1060"/>
      <c r="U35" s="1060"/>
      <c r="V35" s="1077"/>
      <c r="W35" s="1060"/>
      <c r="X35" s="1060"/>
      <c r="Y35" s="1078"/>
      <c r="Z35" s="1077"/>
      <c r="AA35" s="1060"/>
      <c r="AB35" s="1060"/>
      <c r="AC35" s="1060"/>
      <c r="AD35" s="1077"/>
      <c r="AE35" s="1060"/>
      <c r="AF35" s="1060"/>
      <c r="AG35" s="1058"/>
      <c r="AH35" s="1081"/>
      <c r="AI35" s="1058"/>
      <c r="AJ35" s="1058"/>
      <c r="AK35" s="1060"/>
      <c r="AL35" s="1077"/>
      <c r="AM35" s="1060"/>
      <c r="AN35" s="1060"/>
      <c r="AO35" s="1060"/>
      <c r="AP35" s="1077"/>
      <c r="AQ35" s="1060"/>
      <c r="AR35" s="1060"/>
      <c r="AS35" s="1060"/>
      <c r="AT35" s="1077"/>
      <c r="AU35" s="1060"/>
      <c r="AV35" s="1060"/>
      <c r="AW35" s="1060"/>
      <c r="AX35" s="1077"/>
      <c r="AY35" s="1060"/>
      <c r="AZ35" s="1060"/>
      <c r="BA35" s="1060"/>
      <c r="BB35" s="1077"/>
      <c r="BC35" s="1060"/>
      <c r="BD35" s="1060"/>
      <c r="BE35" s="1060"/>
      <c r="BF35" s="1077"/>
      <c r="BG35" s="1060"/>
      <c r="BH35" s="1060"/>
      <c r="BI35" s="1060"/>
      <c r="BJ35" s="1077"/>
      <c r="BK35" s="1060"/>
      <c r="BL35" s="1060"/>
      <c r="BM35" s="1060"/>
      <c r="BN35" s="1077"/>
      <c r="BO35" s="1060"/>
      <c r="BP35" s="1060"/>
      <c r="BQ35" s="1060"/>
      <c r="BR35" s="1077"/>
      <c r="BS35" s="1060"/>
      <c r="BT35" s="1060"/>
      <c r="BU35" s="1060"/>
      <c r="BV35" s="1077"/>
      <c r="BW35" s="1060"/>
      <c r="BX35" s="1060"/>
      <c r="BY35" s="1060"/>
      <c r="BZ35" s="1062"/>
      <c r="CA35" s="824"/>
      <c r="CB35" s="823"/>
      <c r="CC35" s="823"/>
      <c r="CD35" s="823"/>
      <c r="CE35" s="823"/>
      <c r="CF35" s="823"/>
      <c r="CG35" s="823"/>
      <c r="CH35" s="823"/>
      <c r="CI35" s="823"/>
    </row>
    <row r="36" spans="1:87" ht="9.9499999999999993" customHeight="1">
      <c r="A36" s="1405" t="s">
        <v>16</v>
      </c>
      <c r="B36" s="1405"/>
      <c r="C36" s="1405"/>
      <c r="D36" s="1398"/>
      <c r="E36" s="1398"/>
      <c r="F36" s="1398"/>
      <c r="G36" s="827"/>
      <c r="H36" s="1070"/>
      <c r="I36" s="1070"/>
      <c r="J36" s="1069"/>
      <c r="K36" s="1061"/>
      <c r="L36" s="1061"/>
      <c r="M36" s="1061"/>
      <c r="N36" s="1061"/>
      <c r="O36" s="1064"/>
      <c r="P36" s="1064"/>
      <c r="Q36" s="1064"/>
      <c r="R36" s="1069"/>
      <c r="S36" s="1061"/>
      <c r="T36" s="1061"/>
      <c r="U36" s="1061"/>
      <c r="V36" s="1069"/>
      <c r="W36" s="1061"/>
      <c r="X36" s="1061"/>
      <c r="Y36" s="1061"/>
      <c r="Z36" s="1069"/>
      <c r="AA36" s="1061"/>
      <c r="AB36" s="1061"/>
      <c r="AC36" s="1061"/>
      <c r="AD36" s="1069"/>
      <c r="AE36" s="1061"/>
      <c r="AF36" s="1061"/>
      <c r="AG36" s="1064"/>
      <c r="AH36" s="1068"/>
      <c r="AI36" s="1064"/>
      <c r="AJ36" s="1064"/>
      <c r="AK36" s="1061"/>
      <c r="AL36" s="1069"/>
      <c r="AM36" s="1061"/>
      <c r="AN36" s="1061"/>
      <c r="AO36" s="1061"/>
      <c r="AP36" s="1069"/>
      <c r="AQ36" s="1061"/>
      <c r="AR36" s="1061"/>
      <c r="AS36" s="1061"/>
      <c r="AT36" s="1069"/>
      <c r="AU36" s="1061"/>
      <c r="AV36" s="1061"/>
      <c r="AW36" s="1061"/>
      <c r="AX36" s="1069"/>
      <c r="AY36" s="1061"/>
      <c r="AZ36" s="1061"/>
      <c r="BA36" s="1061"/>
      <c r="BB36" s="1069"/>
      <c r="BC36" s="1061"/>
      <c r="BD36" s="1061"/>
      <c r="BE36" s="1061"/>
      <c r="BF36" s="1069"/>
      <c r="BG36" s="1061"/>
      <c r="BH36" s="1061"/>
      <c r="BI36" s="1061"/>
      <c r="BJ36" s="1069"/>
      <c r="BK36" s="1061"/>
      <c r="BL36" s="1061"/>
      <c r="BM36" s="1061"/>
      <c r="BN36" s="1069"/>
      <c r="BO36" s="1061"/>
      <c r="BP36" s="1061"/>
      <c r="BQ36" s="1061"/>
      <c r="BR36" s="1069"/>
      <c r="BS36" s="1061"/>
      <c r="BT36" s="1061"/>
      <c r="BU36" s="1061"/>
      <c r="BV36" s="1069"/>
      <c r="BW36" s="1064"/>
      <c r="BX36" s="1064"/>
      <c r="BY36" s="1064"/>
      <c r="BZ36" s="1066"/>
      <c r="CA36" s="824"/>
      <c r="CB36" s="823"/>
      <c r="CC36" s="823"/>
      <c r="CD36" s="823"/>
      <c r="CE36" s="823"/>
      <c r="CF36" s="823"/>
      <c r="CG36" s="823"/>
      <c r="CH36" s="823"/>
      <c r="CI36" s="823"/>
    </row>
    <row r="37" spans="1:87" ht="9.9499999999999993" customHeight="1">
      <c r="A37" s="1406"/>
      <c r="B37" s="1406"/>
      <c r="C37" s="1406"/>
      <c r="D37" s="1398"/>
      <c r="E37" s="1398"/>
      <c r="F37" s="1398"/>
      <c r="G37" s="827"/>
      <c r="H37" s="1070"/>
      <c r="I37" s="1070"/>
      <c r="J37" s="1069"/>
      <c r="K37" s="1061"/>
      <c r="L37" s="1061"/>
      <c r="M37" s="1061"/>
      <c r="N37" s="1061"/>
      <c r="O37" s="1064"/>
      <c r="P37" s="1064"/>
      <c r="Q37" s="1064"/>
      <c r="R37" s="1069"/>
      <c r="S37" s="1061"/>
      <c r="T37" s="1061"/>
      <c r="U37" s="1061"/>
      <c r="V37" s="1069"/>
      <c r="W37" s="1061"/>
      <c r="X37" s="1061"/>
      <c r="Y37" s="1061"/>
      <c r="Z37" s="1069"/>
      <c r="AA37" s="1061"/>
      <c r="AB37" s="1061"/>
      <c r="AC37" s="1061"/>
      <c r="AD37" s="1069"/>
      <c r="AE37" s="1061"/>
      <c r="AF37" s="1061"/>
      <c r="AG37" s="1064"/>
      <c r="AH37" s="1068"/>
      <c r="AI37" s="1064"/>
      <c r="AJ37" s="1064"/>
      <c r="AK37" s="1061"/>
      <c r="AL37" s="1069"/>
      <c r="AM37" s="1061"/>
      <c r="AN37" s="1061"/>
      <c r="AO37" s="1061"/>
      <c r="AP37" s="1069"/>
      <c r="AQ37" s="1061"/>
      <c r="AR37" s="1061"/>
      <c r="AS37" s="1061"/>
      <c r="AT37" s="1069"/>
      <c r="AU37" s="1061"/>
      <c r="AV37" s="1061"/>
      <c r="AW37" s="1061"/>
      <c r="AX37" s="1069"/>
      <c r="AY37" s="1061"/>
      <c r="AZ37" s="1061"/>
      <c r="BA37" s="1061"/>
      <c r="BB37" s="1069"/>
      <c r="BC37" s="1061"/>
      <c r="BD37" s="1061"/>
      <c r="BE37" s="1061"/>
      <c r="BF37" s="1069"/>
      <c r="BG37" s="1061"/>
      <c r="BH37" s="1061"/>
      <c r="BI37" s="1061"/>
      <c r="BJ37" s="1069"/>
      <c r="BK37" s="1061"/>
      <c r="BL37" s="1061"/>
      <c r="BM37" s="1061"/>
      <c r="BN37" s="1069"/>
      <c r="BO37" s="1061"/>
      <c r="BP37" s="1061"/>
      <c r="BQ37" s="1061"/>
      <c r="BR37" s="1069"/>
      <c r="BS37" s="1061"/>
      <c r="BT37" s="1061"/>
      <c r="BU37" s="1061"/>
      <c r="BV37" s="1069"/>
      <c r="BW37" s="1064"/>
      <c r="BX37" s="1064"/>
      <c r="BY37" s="1064"/>
      <c r="BZ37" s="1066"/>
      <c r="CA37" s="825"/>
      <c r="CB37" s="823"/>
      <c r="CC37" s="823"/>
      <c r="CD37" s="823"/>
      <c r="CE37" s="823"/>
      <c r="CF37" s="823"/>
      <c r="CG37" s="823"/>
      <c r="CH37" s="823"/>
      <c r="CI37" s="823"/>
    </row>
    <row r="38" spans="1:87" ht="9.9499999999999993" customHeight="1">
      <c r="A38" s="1407"/>
      <c r="B38" s="1407"/>
      <c r="C38" s="1407"/>
      <c r="D38" s="1398"/>
      <c r="E38" s="1398"/>
      <c r="F38" s="1398"/>
      <c r="G38" s="827"/>
      <c r="H38" s="1070"/>
      <c r="I38" s="1070"/>
      <c r="J38" s="1069"/>
      <c r="K38" s="1061"/>
      <c r="L38" s="1061"/>
      <c r="M38" s="1061"/>
      <c r="N38" s="1061"/>
      <c r="O38" s="1064"/>
      <c r="P38" s="1064"/>
      <c r="Q38" s="1064"/>
      <c r="R38" s="1069"/>
      <c r="S38" s="1061"/>
      <c r="T38" s="1061"/>
      <c r="U38" s="1061"/>
      <c r="V38" s="1069"/>
      <c r="W38" s="1061"/>
      <c r="X38" s="1061"/>
      <c r="Y38" s="1061"/>
      <c r="Z38" s="1069"/>
      <c r="AA38" s="1061"/>
      <c r="AB38" s="1061"/>
      <c r="AC38" s="1061"/>
      <c r="AD38" s="1069"/>
      <c r="AE38" s="1061"/>
      <c r="AF38" s="1061"/>
      <c r="AG38" s="1064"/>
      <c r="AH38" s="1068"/>
      <c r="AI38" s="1064"/>
      <c r="AJ38" s="1064"/>
      <c r="AK38" s="1061"/>
      <c r="AL38" s="1069"/>
      <c r="AM38" s="1061"/>
      <c r="AN38" s="1061"/>
      <c r="AO38" s="1061"/>
      <c r="AP38" s="1069"/>
      <c r="AQ38" s="1061"/>
      <c r="AR38" s="1061"/>
      <c r="AS38" s="1061"/>
      <c r="AT38" s="1069"/>
      <c r="AU38" s="1061"/>
      <c r="AV38" s="1061"/>
      <c r="AW38" s="1061"/>
      <c r="AX38" s="1069"/>
      <c r="AY38" s="1061"/>
      <c r="AZ38" s="1061"/>
      <c r="BA38" s="1061"/>
      <c r="BB38" s="1069"/>
      <c r="BC38" s="1061"/>
      <c r="BD38" s="1061"/>
      <c r="BE38" s="1061"/>
      <c r="BF38" s="1069"/>
      <c r="BG38" s="1061"/>
      <c r="BH38" s="1061"/>
      <c r="BI38" s="1061"/>
      <c r="BJ38" s="1069"/>
      <c r="BK38" s="1061"/>
      <c r="BL38" s="1061"/>
      <c r="BM38" s="1061"/>
      <c r="BN38" s="1069"/>
      <c r="BO38" s="1061"/>
      <c r="BP38" s="1061"/>
      <c r="BQ38" s="1061"/>
      <c r="BR38" s="1069"/>
      <c r="BS38" s="1061"/>
      <c r="BT38" s="1061"/>
      <c r="BU38" s="1061"/>
      <c r="BV38" s="1069"/>
      <c r="BW38" s="1064"/>
      <c r="BX38" s="1064"/>
      <c r="BY38" s="1064"/>
      <c r="BZ38" s="1066"/>
      <c r="CA38" s="825"/>
      <c r="CB38" s="823"/>
      <c r="CC38" s="823"/>
      <c r="CD38" s="823"/>
      <c r="CE38" s="823"/>
      <c r="CF38" s="823"/>
      <c r="CG38" s="823"/>
      <c r="CH38" s="823"/>
      <c r="CI38" s="823"/>
    </row>
    <row r="39" spans="1:87" ht="9.9499999999999993" customHeight="1">
      <c r="A39" s="1415" t="s">
        <v>43</v>
      </c>
      <c r="B39" s="1415"/>
      <c r="C39" s="1415"/>
      <c r="D39" s="1398"/>
      <c r="E39" s="1398"/>
      <c r="F39" s="1398"/>
      <c r="G39" s="827"/>
      <c r="H39" s="1070"/>
      <c r="I39" s="1070"/>
      <c r="J39" s="1069"/>
      <c r="K39" s="1061"/>
      <c r="L39" s="1061"/>
      <c r="M39" s="1061"/>
      <c r="N39" s="1061"/>
      <c r="O39" s="1064"/>
      <c r="P39" s="1064"/>
      <c r="Q39" s="1064"/>
      <c r="R39" s="1069"/>
      <c r="S39" s="1061"/>
      <c r="T39" s="1061"/>
      <c r="U39" s="1061"/>
      <c r="V39" s="1069"/>
      <c r="W39" s="1061"/>
      <c r="X39" s="1061"/>
      <c r="Y39" s="1061"/>
      <c r="Z39" s="1069"/>
      <c r="AA39" s="1061"/>
      <c r="AB39" s="1061"/>
      <c r="AC39" s="1061"/>
      <c r="AD39" s="1069"/>
      <c r="AE39" s="1061"/>
      <c r="AF39" s="1061"/>
      <c r="AG39" s="1064"/>
      <c r="AH39" s="1068"/>
      <c r="AI39" s="1064"/>
      <c r="AJ39" s="1064"/>
      <c r="AK39" s="1061"/>
      <c r="AL39" s="1069"/>
      <c r="AM39" s="1061"/>
      <c r="AN39" s="1061"/>
      <c r="AO39" s="1061"/>
      <c r="AP39" s="1069"/>
      <c r="AQ39" s="1061"/>
      <c r="AR39" s="1061"/>
      <c r="AS39" s="1061"/>
      <c r="AT39" s="1069"/>
      <c r="AU39" s="1061"/>
      <c r="AV39" s="1061"/>
      <c r="AW39" s="1061"/>
      <c r="AX39" s="1069"/>
      <c r="AY39" s="1061"/>
      <c r="AZ39" s="1061"/>
      <c r="BA39" s="1061"/>
      <c r="BB39" s="1069"/>
      <c r="BC39" s="1061"/>
      <c r="BD39" s="1061"/>
      <c r="BE39" s="1061"/>
      <c r="BF39" s="1069"/>
      <c r="BG39" s="1061"/>
      <c r="BH39" s="1061"/>
      <c r="BI39" s="1061"/>
      <c r="BJ39" s="1069"/>
      <c r="BK39" s="1061"/>
      <c r="BL39" s="1061"/>
      <c r="BM39" s="1061"/>
      <c r="BN39" s="1069"/>
      <c r="BO39" s="1061"/>
      <c r="BP39" s="1061"/>
      <c r="BQ39" s="1061"/>
      <c r="BR39" s="1069"/>
      <c r="BS39" s="1061"/>
      <c r="BT39" s="1061"/>
      <c r="BU39" s="1061"/>
      <c r="BV39" s="1069"/>
      <c r="BW39" s="1064"/>
      <c r="BX39" s="1064"/>
      <c r="BY39" s="1064"/>
      <c r="BZ39" s="1066"/>
      <c r="CA39" s="824"/>
      <c r="CB39" s="823"/>
      <c r="CC39" s="823"/>
      <c r="CD39" s="823"/>
      <c r="CE39" s="823"/>
      <c r="CF39" s="823"/>
      <c r="CG39" s="823"/>
      <c r="CH39" s="823"/>
      <c r="CI39" s="823"/>
    </row>
    <row r="40" spans="1:87" ht="9.9499999999999993" customHeight="1">
      <c r="A40" s="1444" t="str">
        <f>BK4</f>
        <v/>
      </c>
      <c r="B40" s="1444"/>
      <c r="C40" s="1444"/>
      <c r="D40" s="1398"/>
      <c r="E40" s="1398"/>
      <c r="F40" s="1398"/>
      <c r="G40" s="827"/>
      <c r="H40" s="1070"/>
      <c r="I40" s="1070"/>
      <c r="J40" s="1069"/>
      <c r="K40" s="1061"/>
      <c r="L40" s="1061"/>
      <c r="M40" s="1061"/>
      <c r="N40" s="1061"/>
      <c r="O40" s="1064"/>
      <c r="P40" s="1064"/>
      <c r="Q40" s="1064"/>
      <c r="R40" s="1069"/>
      <c r="S40" s="1061"/>
      <c r="T40" s="1061"/>
      <c r="U40" s="1061"/>
      <c r="V40" s="1069"/>
      <c r="W40" s="1061"/>
      <c r="X40" s="1061"/>
      <c r="Y40" s="1061"/>
      <c r="Z40" s="1069"/>
      <c r="AA40" s="1061"/>
      <c r="AB40" s="1061"/>
      <c r="AC40" s="1061"/>
      <c r="AD40" s="1069"/>
      <c r="AE40" s="1061"/>
      <c r="AF40" s="1061"/>
      <c r="AG40" s="1064"/>
      <c r="AH40" s="1068"/>
      <c r="AI40" s="1064"/>
      <c r="AJ40" s="1064"/>
      <c r="AK40" s="1061"/>
      <c r="AL40" s="1069"/>
      <c r="AM40" s="1061"/>
      <c r="AN40" s="1061"/>
      <c r="AO40" s="1061"/>
      <c r="AP40" s="1069"/>
      <c r="AQ40" s="1061"/>
      <c r="AR40" s="1061"/>
      <c r="AS40" s="1061"/>
      <c r="AT40" s="1069"/>
      <c r="AU40" s="1061"/>
      <c r="AV40" s="1061"/>
      <c r="AW40" s="1061"/>
      <c r="AX40" s="1069"/>
      <c r="AY40" s="1061"/>
      <c r="AZ40" s="1061"/>
      <c r="BA40" s="1061"/>
      <c r="BB40" s="1069"/>
      <c r="BC40" s="1061"/>
      <c r="BD40" s="1061"/>
      <c r="BE40" s="1061"/>
      <c r="BF40" s="1069"/>
      <c r="BG40" s="1061"/>
      <c r="BH40" s="1061"/>
      <c r="BI40" s="1061"/>
      <c r="BJ40" s="1069"/>
      <c r="BK40" s="1061"/>
      <c r="BL40" s="1061"/>
      <c r="BM40" s="1061"/>
      <c r="BN40" s="1069"/>
      <c r="BO40" s="1061"/>
      <c r="BP40" s="1061"/>
      <c r="BQ40" s="1061"/>
      <c r="BR40" s="1069"/>
      <c r="BS40" s="1061"/>
      <c r="BT40" s="1061"/>
      <c r="BU40" s="1061"/>
      <c r="BV40" s="1069"/>
      <c r="BW40" s="1064"/>
      <c r="BX40" s="1064"/>
      <c r="BY40" s="1064"/>
      <c r="BZ40" s="1066"/>
      <c r="CA40" s="824"/>
      <c r="CB40" s="823"/>
      <c r="CC40" s="823"/>
      <c r="CD40" s="823"/>
      <c r="CE40" s="823"/>
      <c r="CF40" s="823"/>
      <c r="CG40" s="823"/>
      <c r="CH40" s="823"/>
      <c r="CI40" s="823"/>
    </row>
    <row r="41" spans="1:87" ht="9.9499999999999993" customHeight="1">
      <c r="A41" s="1445"/>
      <c r="B41" s="1445"/>
      <c r="C41" s="1445"/>
      <c r="D41" s="1398"/>
      <c r="E41" s="1398"/>
      <c r="F41" s="1398"/>
      <c r="G41" s="827"/>
      <c r="H41" s="1070"/>
      <c r="I41" s="1070"/>
      <c r="J41" s="1069"/>
      <c r="K41" s="1061"/>
      <c r="L41" s="1061"/>
      <c r="M41" s="1061"/>
      <c r="N41" s="1061"/>
      <c r="O41" s="1064"/>
      <c r="P41" s="1064"/>
      <c r="Q41" s="1064"/>
      <c r="R41" s="1069"/>
      <c r="S41" s="1061"/>
      <c r="T41" s="1061"/>
      <c r="U41" s="1061"/>
      <c r="V41" s="1069"/>
      <c r="W41" s="1061"/>
      <c r="X41" s="1061"/>
      <c r="Y41" s="1061"/>
      <c r="Z41" s="1069"/>
      <c r="AA41" s="1061"/>
      <c r="AB41" s="1061"/>
      <c r="AC41" s="1061"/>
      <c r="AD41" s="1069"/>
      <c r="AE41" s="1061"/>
      <c r="AF41" s="1061"/>
      <c r="AG41" s="1064"/>
      <c r="AH41" s="1068"/>
      <c r="AI41" s="1064"/>
      <c r="AJ41" s="1064"/>
      <c r="AK41" s="1061"/>
      <c r="AL41" s="1069"/>
      <c r="AM41" s="1061"/>
      <c r="AN41" s="1061"/>
      <c r="AO41" s="1061"/>
      <c r="AP41" s="1069"/>
      <c r="AQ41" s="1061"/>
      <c r="AR41" s="1061"/>
      <c r="AS41" s="1061"/>
      <c r="AT41" s="1069"/>
      <c r="AU41" s="1061"/>
      <c r="AV41" s="1061"/>
      <c r="AW41" s="1061"/>
      <c r="AX41" s="1069"/>
      <c r="AY41" s="1061"/>
      <c r="AZ41" s="1061"/>
      <c r="BA41" s="1061"/>
      <c r="BB41" s="1069"/>
      <c r="BC41" s="1061"/>
      <c r="BD41" s="1061"/>
      <c r="BE41" s="1061"/>
      <c r="BF41" s="1069"/>
      <c r="BG41" s="1061"/>
      <c r="BH41" s="1061"/>
      <c r="BI41" s="1061"/>
      <c r="BJ41" s="1069"/>
      <c r="BK41" s="1061"/>
      <c r="BL41" s="1061"/>
      <c r="BM41" s="1061"/>
      <c r="BN41" s="1069"/>
      <c r="BO41" s="1061"/>
      <c r="BP41" s="1061"/>
      <c r="BQ41" s="1061"/>
      <c r="BR41" s="1069"/>
      <c r="BS41" s="1061"/>
      <c r="BT41" s="1061"/>
      <c r="BU41" s="1061"/>
      <c r="BV41" s="1069"/>
      <c r="BW41" s="1064"/>
      <c r="BX41" s="1064"/>
      <c r="BY41" s="1064"/>
      <c r="BZ41" s="1066"/>
      <c r="CA41" s="824"/>
      <c r="CB41" s="823"/>
      <c r="CC41" s="823"/>
      <c r="CD41" s="823"/>
      <c r="CE41" s="823"/>
      <c r="CF41" s="823"/>
      <c r="CG41" s="823"/>
      <c r="CH41" s="823"/>
      <c r="CI41" s="823"/>
    </row>
    <row r="42" spans="1:87" ht="9.9499999999999993" customHeight="1">
      <c r="A42" s="1405" t="s">
        <v>42</v>
      </c>
      <c r="B42" s="1405"/>
      <c r="C42" s="1405"/>
      <c r="D42" s="1398"/>
      <c r="E42" s="1398"/>
      <c r="F42" s="1398"/>
      <c r="G42" s="828"/>
      <c r="H42" s="829"/>
      <c r="I42" s="829"/>
      <c r="J42" s="1080"/>
      <c r="K42" s="1074"/>
      <c r="L42" s="1074"/>
      <c r="M42" s="1074"/>
      <c r="N42" s="1074"/>
      <c r="O42" s="1082"/>
      <c r="P42" s="1072"/>
      <c r="Q42" s="1072"/>
      <c r="R42" s="1080"/>
      <c r="S42" s="1074"/>
      <c r="T42" s="1074"/>
      <c r="U42" s="1074"/>
      <c r="V42" s="1074"/>
      <c r="W42" s="1083"/>
      <c r="X42" s="1074"/>
      <c r="Y42" s="1074"/>
      <c r="Z42" s="1074"/>
      <c r="AA42" s="1083"/>
      <c r="AB42" s="1074"/>
      <c r="AC42" s="1074"/>
      <c r="AD42" s="1074"/>
      <c r="AE42" s="1083"/>
      <c r="AF42" s="1074"/>
      <c r="AG42" s="1072"/>
      <c r="AH42" s="1076"/>
      <c r="AI42" s="1072"/>
      <c r="AJ42" s="1072"/>
      <c r="AK42" s="1074"/>
      <c r="AL42" s="1074"/>
      <c r="AM42" s="1083"/>
      <c r="AN42" s="1074"/>
      <c r="AO42" s="1074"/>
      <c r="AP42" s="1074"/>
      <c r="AQ42" s="1083"/>
      <c r="AR42" s="1074"/>
      <c r="AS42" s="1074"/>
      <c r="AT42" s="1074"/>
      <c r="AU42" s="1083"/>
      <c r="AV42" s="1074"/>
      <c r="AW42" s="1074"/>
      <c r="AX42" s="1074"/>
      <c r="AY42" s="1083"/>
      <c r="AZ42" s="1074"/>
      <c r="BA42" s="1074"/>
      <c r="BB42" s="1074"/>
      <c r="BC42" s="1083"/>
      <c r="BD42" s="1074"/>
      <c r="BE42" s="1074"/>
      <c r="BF42" s="1074"/>
      <c r="BG42" s="1083"/>
      <c r="BH42" s="1074"/>
      <c r="BI42" s="1074"/>
      <c r="BJ42" s="1074"/>
      <c r="BK42" s="1083"/>
      <c r="BL42" s="1074"/>
      <c r="BM42" s="1074"/>
      <c r="BN42" s="1074"/>
      <c r="BO42" s="1083"/>
      <c r="BP42" s="1074"/>
      <c r="BQ42" s="1074"/>
      <c r="BR42" s="1074"/>
      <c r="BS42" s="1083"/>
      <c r="BT42" s="1074"/>
      <c r="BU42" s="1074"/>
      <c r="BV42" s="1074"/>
      <c r="BW42" s="1082"/>
      <c r="BX42" s="1072"/>
      <c r="BY42" s="1072"/>
      <c r="BZ42" s="1076"/>
      <c r="CA42" s="826"/>
      <c r="CB42" s="823"/>
      <c r="CC42" s="823"/>
      <c r="CD42" s="823"/>
      <c r="CE42" s="823"/>
      <c r="CF42" s="823"/>
      <c r="CG42" s="823"/>
      <c r="CH42" s="823"/>
      <c r="CI42" s="823"/>
    </row>
    <row r="43" spans="1:87" ht="13.5" customHeight="1">
      <c r="A43" s="1084"/>
      <c r="B43" s="1084"/>
      <c r="C43" s="1084"/>
      <c r="D43" s="1084"/>
      <c r="E43" s="1084"/>
      <c r="F43" s="1084"/>
      <c r="G43" s="1404"/>
      <c r="H43" s="1404"/>
      <c r="I43" s="1402">
        <v>0.25</v>
      </c>
      <c r="J43" s="1402"/>
      <c r="K43" s="1402"/>
      <c r="L43" s="1402"/>
      <c r="M43" s="1402">
        <v>0.29166666666666669</v>
      </c>
      <c r="N43" s="1402"/>
      <c r="O43" s="1402"/>
      <c r="P43" s="1402"/>
      <c r="Q43" s="1402">
        <v>0.33333333333333331</v>
      </c>
      <c r="R43" s="1402"/>
      <c r="S43" s="1402"/>
      <c r="T43" s="1402"/>
      <c r="U43" s="1402">
        <v>0.375</v>
      </c>
      <c r="V43" s="1402"/>
      <c r="W43" s="1402"/>
      <c r="X43" s="1402"/>
      <c r="Y43" s="1402">
        <v>0.41666666666666669</v>
      </c>
      <c r="Z43" s="1419"/>
      <c r="AA43" s="1402"/>
      <c r="AB43" s="1402"/>
      <c r="AC43" s="1402">
        <v>0.45833333333333331</v>
      </c>
      <c r="AD43" s="1402"/>
      <c r="AE43" s="1402"/>
      <c r="AF43" s="1402"/>
      <c r="AG43" s="1403">
        <v>0.5</v>
      </c>
      <c r="AH43" s="1403"/>
      <c r="AI43" s="1403"/>
      <c r="AJ43" s="1403"/>
      <c r="AK43" s="1403">
        <v>4.1666666666666664E-2</v>
      </c>
      <c r="AL43" s="1403"/>
      <c r="AM43" s="1403"/>
      <c r="AN43" s="1403"/>
      <c r="AO43" s="1403">
        <v>8.3333333333333329E-2</v>
      </c>
      <c r="AP43" s="1403"/>
      <c r="AQ43" s="1403"/>
      <c r="AR43" s="1403"/>
      <c r="AS43" s="1403">
        <v>0.125</v>
      </c>
      <c r="AT43" s="1403"/>
      <c r="AU43" s="1403"/>
      <c r="AV43" s="1403"/>
      <c r="AW43" s="1403">
        <v>0.16666666666666666</v>
      </c>
      <c r="AX43" s="1403"/>
      <c r="AY43" s="1403"/>
      <c r="AZ43" s="1403"/>
      <c r="BA43" s="1403">
        <v>0.20833333333333334</v>
      </c>
      <c r="BB43" s="1403"/>
      <c r="BC43" s="1403"/>
      <c r="BD43" s="1403"/>
      <c r="BE43" s="1403">
        <v>0.25</v>
      </c>
      <c r="BF43" s="1403"/>
      <c r="BG43" s="1403"/>
      <c r="BH43" s="1403"/>
      <c r="BI43" s="1403">
        <v>0.29166666666666669</v>
      </c>
      <c r="BJ43" s="1403"/>
      <c r="BK43" s="1403"/>
      <c r="BL43" s="1403"/>
      <c r="BM43" s="1403">
        <v>0.33333333333333331</v>
      </c>
      <c r="BN43" s="1403"/>
      <c r="BO43" s="1403"/>
      <c r="BP43" s="1403"/>
      <c r="BQ43" s="1403">
        <v>0.375</v>
      </c>
      <c r="BR43" s="1403"/>
      <c r="BS43" s="1403"/>
      <c r="BT43" s="1403"/>
      <c r="BU43" s="1403">
        <v>0.41666666666666669</v>
      </c>
      <c r="BV43" s="1417"/>
      <c r="BW43" s="1417"/>
      <c r="BX43" s="1417"/>
      <c r="CA43" s="820"/>
      <c r="CB43" s="823"/>
      <c r="CC43" s="823"/>
      <c r="CD43" s="823"/>
      <c r="CE43" s="823"/>
      <c r="CF43" s="823"/>
      <c r="CG43" s="823"/>
      <c r="CH43" s="823"/>
      <c r="CI43" s="823"/>
    </row>
    <row r="44" spans="1:87" ht="13.5" customHeight="1">
      <c r="A44" s="1406" t="s">
        <v>78</v>
      </c>
      <c r="B44" s="1406"/>
      <c r="C44" s="1406"/>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8"/>
      <c r="AI44" s="1418"/>
      <c r="AJ44" s="1418"/>
      <c r="AK44" s="1418"/>
      <c r="AL44" s="1418"/>
      <c r="AM44" s="1418"/>
      <c r="AN44" s="1418"/>
      <c r="AO44" s="1418"/>
      <c r="AP44" s="1418"/>
      <c r="AQ44" s="1418"/>
      <c r="AR44" s="1418"/>
      <c r="AS44" s="1418"/>
      <c r="AT44" s="1418"/>
      <c r="AU44" s="1418"/>
      <c r="AV44" s="1418"/>
      <c r="AW44" s="1418"/>
      <c r="AX44" s="1418"/>
      <c r="AY44" s="1418"/>
      <c r="AZ44" s="1418"/>
      <c r="BA44" s="1418"/>
      <c r="BB44" s="1418"/>
      <c r="BC44" s="1418"/>
      <c r="BD44" s="1418"/>
      <c r="BE44" s="1418"/>
      <c r="BF44" s="1418"/>
      <c r="BG44" s="1418"/>
      <c r="BH44" s="1418"/>
      <c r="BI44" s="1418"/>
      <c r="BJ44" s="1418"/>
      <c r="BK44" s="1418"/>
      <c r="BL44" s="1418"/>
      <c r="BM44" s="1418"/>
      <c r="BN44" s="1418"/>
      <c r="BO44" s="1418"/>
      <c r="BP44" s="1418"/>
      <c r="BQ44" s="1418"/>
      <c r="BR44" s="1418"/>
      <c r="BS44" s="1418"/>
      <c r="BT44" s="1418"/>
      <c r="BU44" s="1418"/>
      <c r="BV44" s="1418"/>
      <c r="BW44" s="1418"/>
      <c r="BX44" s="1418"/>
      <c r="BY44" s="1418"/>
      <c r="BZ44" s="1418"/>
      <c r="CA44" s="825"/>
      <c r="CB44" s="832"/>
      <c r="CC44" s="832"/>
      <c r="CD44" s="832"/>
      <c r="CE44" s="832"/>
      <c r="CF44" s="832"/>
      <c r="CG44" s="832"/>
      <c r="CH44" s="832"/>
      <c r="CI44" s="832"/>
    </row>
    <row r="45" spans="1:87">
      <c r="A45" s="1406"/>
      <c r="B45" s="1406"/>
      <c r="C45" s="1406"/>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8"/>
      <c r="AI45" s="1418"/>
      <c r="AJ45" s="1418"/>
      <c r="AK45" s="1418"/>
      <c r="AL45" s="1418"/>
      <c r="AM45" s="1418"/>
      <c r="AN45" s="1418"/>
      <c r="AO45" s="1418"/>
      <c r="AP45" s="1418"/>
      <c r="AQ45" s="1418"/>
      <c r="AR45" s="1418"/>
      <c r="AS45" s="1418"/>
      <c r="AT45" s="1418"/>
      <c r="AU45" s="1418"/>
      <c r="AV45" s="1418"/>
      <c r="AW45" s="1418"/>
      <c r="AX45" s="1418"/>
      <c r="AY45" s="1418"/>
      <c r="AZ45" s="1418"/>
      <c r="BA45" s="1418"/>
      <c r="BB45" s="1418"/>
      <c r="BC45" s="1418"/>
      <c r="BD45" s="1418"/>
      <c r="BE45" s="1418"/>
      <c r="BF45" s="1418"/>
      <c r="BG45" s="1418"/>
      <c r="BH45" s="1418"/>
      <c r="BI45" s="1418"/>
      <c r="BJ45" s="1418"/>
      <c r="BK45" s="1418"/>
      <c r="BL45" s="1418"/>
      <c r="BM45" s="1418"/>
      <c r="BN45" s="1418"/>
      <c r="BO45" s="1418"/>
      <c r="BP45" s="1418"/>
      <c r="BQ45" s="1418"/>
      <c r="BR45" s="1418"/>
      <c r="BS45" s="1418"/>
      <c r="BT45" s="1418"/>
      <c r="BU45" s="1418"/>
      <c r="BV45" s="1418"/>
      <c r="BW45" s="1418"/>
      <c r="BX45" s="1418"/>
      <c r="BY45" s="1418"/>
      <c r="BZ45" s="1418"/>
      <c r="CA45" s="825"/>
      <c r="CB45" s="832"/>
      <c r="CC45" s="832"/>
      <c r="CD45" s="832"/>
      <c r="CE45" s="832"/>
      <c r="CF45" s="832"/>
      <c r="CG45" s="832"/>
      <c r="CH45" s="832"/>
      <c r="CI45" s="832"/>
    </row>
    <row r="46" spans="1:87">
      <c r="A46" s="1406"/>
      <c r="B46" s="1406"/>
      <c r="C46" s="1406"/>
      <c r="D46" s="1418"/>
      <c r="E46" s="1418"/>
      <c r="F46" s="1418"/>
      <c r="G46" s="1418"/>
      <c r="H46" s="1418"/>
      <c r="I46" s="1418"/>
      <c r="J46" s="1418"/>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8"/>
      <c r="AH46" s="1418"/>
      <c r="AI46" s="1418"/>
      <c r="AJ46" s="1418"/>
      <c r="AK46" s="1418"/>
      <c r="AL46" s="1418"/>
      <c r="AM46" s="1418"/>
      <c r="AN46" s="1418"/>
      <c r="AO46" s="1418"/>
      <c r="AP46" s="1418"/>
      <c r="AQ46" s="1418"/>
      <c r="AR46" s="1418"/>
      <c r="AS46" s="1418"/>
      <c r="AT46" s="1418"/>
      <c r="AU46" s="1418"/>
      <c r="AV46" s="1418"/>
      <c r="AW46" s="1418"/>
      <c r="AX46" s="1418"/>
      <c r="AY46" s="1418"/>
      <c r="AZ46" s="1418"/>
      <c r="BA46" s="1418"/>
      <c r="BB46" s="1418"/>
      <c r="BC46" s="1418"/>
      <c r="BD46" s="1418"/>
      <c r="BE46" s="1418"/>
      <c r="BF46" s="1418"/>
      <c r="BG46" s="1418"/>
      <c r="BH46" s="1418"/>
      <c r="BI46" s="1418"/>
      <c r="BJ46" s="1418"/>
      <c r="BK46" s="1418"/>
      <c r="BL46" s="1418"/>
      <c r="BM46" s="1418"/>
      <c r="BN46" s="1418"/>
      <c r="BO46" s="1418"/>
      <c r="BP46" s="1418"/>
      <c r="BQ46" s="1418"/>
      <c r="BR46" s="1418"/>
      <c r="BS46" s="1418"/>
      <c r="BT46" s="1418"/>
      <c r="BU46" s="1418"/>
      <c r="BV46" s="1418"/>
      <c r="BW46" s="1418"/>
      <c r="BX46" s="1418"/>
      <c r="BY46" s="1418"/>
      <c r="BZ46" s="1418"/>
      <c r="CA46" s="825"/>
      <c r="CB46" s="832"/>
      <c r="CC46" s="832"/>
      <c r="CD46" s="832"/>
      <c r="CE46" s="832"/>
      <c r="CF46" s="832"/>
      <c r="CG46" s="832"/>
      <c r="CH46" s="832"/>
      <c r="CI46" s="832"/>
    </row>
    <row r="47" spans="1:87">
      <c r="A47" s="1406"/>
      <c r="B47" s="1406"/>
      <c r="C47" s="1406"/>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8"/>
      <c r="AJ47" s="1418"/>
      <c r="AK47" s="1418"/>
      <c r="AL47" s="1418"/>
      <c r="AM47" s="1418"/>
      <c r="AN47" s="1418"/>
      <c r="AO47" s="1418"/>
      <c r="AP47" s="1418"/>
      <c r="AQ47" s="1418"/>
      <c r="AR47" s="1418"/>
      <c r="AS47" s="1418"/>
      <c r="AT47" s="1418"/>
      <c r="AU47" s="1418"/>
      <c r="AV47" s="1418"/>
      <c r="AW47" s="1418"/>
      <c r="AX47" s="1418"/>
      <c r="AY47" s="1418"/>
      <c r="AZ47" s="1418"/>
      <c r="BA47" s="1418"/>
      <c r="BB47" s="1418"/>
      <c r="BC47" s="1418"/>
      <c r="BD47" s="1418"/>
      <c r="BE47" s="1418"/>
      <c r="BF47" s="1418"/>
      <c r="BG47" s="1418"/>
      <c r="BH47" s="1418"/>
      <c r="BI47" s="1418"/>
      <c r="BJ47" s="1418"/>
      <c r="BK47" s="1418"/>
      <c r="BL47" s="1418"/>
      <c r="BM47" s="1418"/>
      <c r="BN47" s="1418"/>
      <c r="BO47" s="1418"/>
      <c r="BP47" s="1418"/>
      <c r="BQ47" s="1418"/>
      <c r="BR47" s="1418"/>
      <c r="BS47" s="1418"/>
      <c r="BT47" s="1418"/>
      <c r="BU47" s="1418"/>
      <c r="BV47" s="1418"/>
      <c r="BW47" s="1418"/>
      <c r="BX47" s="1418"/>
      <c r="BY47" s="1418"/>
      <c r="BZ47" s="1418"/>
      <c r="CA47" s="825"/>
      <c r="CB47" s="832"/>
      <c r="CC47" s="832"/>
      <c r="CD47" s="832"/>
      <c r="CE47" s="832"/>
      <c r="CF47" s="832"/>
      <c r="CG47" s="832"/>
      <c r="CH47" s="832"/>
      <c r="CI47" s="832"/>
    </row>
    <row r="48" spans="1:87">
      <c r="A48" s="1406"/>
      <c r="B48" s="1406"/>
      <c r="C48" s="1406"/>
      <c r="D48" s="1418"/>
      <c r="E48" s="1418"/>
      <c r="F48" s="1418"/>
      <c r="G48" s="1418"/>
      <c r="H48" s="1418"/>
      <c r="I48" s="1418"/>
      <c r="J48" s="1418"/>
      <c r="K48" s="1418"/>
      <c r="L48" s="1418"/>
      <c r="M48" s="1418"/>
      <c r="N48" s="1418"/>
      <c r="O48" s="1418"/>
      <c r="P48" s="1418"/>
      <c r="Q48" s="1418"/>
      <c r="R48" s="1418"/>
      <c r="S48" s="1418"/>
      <c r="T48" s="1418"/>
      <c r="U48" s="1418"/>
      <c r="V48" s="1418"/>
      <c r="W48" s="1418"/>
      <c r="X48" s="1418"/>
      <c r="Y48" s="1418"/>
      <c r="Z48" s="1418"/>
      <c r="AA48" s="1418"/>
      <c r="AB48" s="1418"/>
      <c r="AC48" s="1418"/>
      <c r="AD48" s="1418"/>
      <c r="AE48" s="1418"/>
      <c r="AF48" s="1418"/>
      <c r="AG48" s="1418"/>
      <c r="AH48" s="1418"/>
      <c r="AI48" s="1418"/>
      <c r="AJ48" s="1418"/>
      <c r="AK48" s="1418"/>
      <c r="AL48" s="1418"/>
      <c r="AM48" s="1418"/>
      <c r="AN48" s="1418"/>
      <c r="AO48" s="1418"/>
      <c r="AP48" s="1418"/>
      <c r="AQ48" s="1418"/>
      <c r="AR48" s="1418"/>
      <c r="AS48" s="1418"/>
      <c r="AT48" s="1418"/>
      <c r="AU48" s="1418"/>
      <c r="AV48" s="1418"/>
      <c r="AW48" s="1418"/>
      <c r="AX48" s="1418"/>
      <c r="AY48" s="1418"/>
      <c r="AZ48" s="1418"/>
      <c r="BA48" s="1418"/>
      <c r="BB48" s="1418"/>
      <c r="BC48" s="1418"/>
      <c r="BD48" s="1418"/>
      <c r="BE48" s="1418"/>
      <c r="BF48" s="1418"/>
      <c r="BG48" s="1418"/>
      <c r="BH48" s="1418"/>
      <c r="BI48" s="1418"/>
      <c r="BJ48" s="1418"/>
      <c r="BK48" s="1418"/>
      <c r="BL48" s="1418"/>
      <c r="BM48" s="1418"/>
      <c r="BN48" s="1418"/>
      <c r="BO48" s="1418"/>
      <c r="BP48" s="1418"/>
      <c r="BQ48" s="1418"/>
      <c r="BR48" s="1418"/>
      <c r="BS48" s="1418"/>
      <c r="BT48" s="1418"/>
      <c r="BU48" s="1418"/>
      <c r="BV48" s="1418"/>
      <c r="BW48" s="1418"/>
      <c r="BX48" s="1418"/>
      <c r="BY48" s="1418"/>
      <c r="BZ48" s="1418"/>
      <c r="CA48" s="825"/>
      <c r="CB48" s="832"/>
      <c r="CC48" s="832"/>
      <c r="CD48" s="832"/>
      <c r="CE48" s="832"/>
      <c r="CF48" s="832"/>
      <c r="CG48" s="832"/>
      <c r="CH48" s="832"/>
      <c r="CI48" s="832"/>
    </row>
    <row r="49" spans="1:87">
      <c r="A49" s="1416" t="s">
        <v>91</v>
      </c>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c r="AA49" s="1416"/>
      <c r="AB49" s="1416"/>
      <c r="AC49" s="1416"/>
      <c r="AD49" s="1416"/>
      <c r="AE49" s="1416"/>
      <c r="AF49" s="1416"/>
      <c r="AG49" s="1416"/>
      <c r="AH49" s="1416"/>
      <c r="AI49" s="1416"/>
      <c r="AJ49" s="1416"/>
      <c r="AK49" s="1416"/>
      <c r="AL49" s="1416"/>
      <c r="AM49" s="1416"/>
      <c r="AN49" s="1416"/>
      <c r="AO49" s="1416"/>
      <c r="AP49" s="1416"/>
      <c r="AQ49" s="1416"/>
      <c r="AR49" s="1416"/>
      <c r="AS49" s="1416"/>
      <c r="AT49" s="1416"/>
      <c r="AU49" s="1416"/>
      <c r="AV49" s="1416"/>
      <c r="AW49" s="1416"/>
      <c r="AX49" s="1416"/>
      <c r="AY49" s="1416"/>
      <c r="AZ49" s="1416"/>
      <c r="BA49" s="1416"/>
      <c r="BB49" s="1416"/>
      <c r="BC49" s="1416"/>
      <c r="BD49" s="1416"/>
      <c r="BE49" s="1416"/>
      <c r="BF49" s="1416"/>
      <c r="BG49" s="1416"/>
      <c r="BH49" s="1416"/>
      <c r="BI49" s="1416"/>
      <c r="BJ49" s="1416"/>
      <c r="BK49" s="1416"/>
      <c r="BL49" s="1416"/>
      <c r="BM49" s="1416"/>
      <c r="BN49" s="1416"/>
      <c r="BO49" s="1416"/>
      <c r="BP49" s="1416"/>
      <c r="BQ49" s="1416"/>
      <c r="BR49" s="1416"/>
      <c r="BS49" s="1416"/>
      <c r="BT49" s="1416"/>
      <c r="BU49" s="1416"/>
      <c r="BV49" s="1416"/>
      <c r="BW49" s="1416"/>
      <c r="BX49" s="1416"/>
      <c r="BY49" s="1416"/>
      <c r="BZ49" s="1416"/>
      <c r="CA49" s="820"/>
      <c r="CB49" s="823"/>
      <c r="CC49" s="823"/>
      <c r="CD49" s="823"/>
      <c r="CE49" s="823"/>
      <c r="CF49" s="823"/>
      <c r="CG49" s="823"/>
      <c r="CH49" s="823"/>
      <c r="CI49" s="823"/>
    </row>
    <row r="50" spans="1:87">
      <c r="A50" s="1416" t="s">
        <v>90</v>
      </c>
      <c r="B50" s="1416"/>
      <c r="C50" s="1416"/>
      <c r="D50" s="1416"/>
      <c r="E50" s="1416"/>
      <c r="F50" s="1416"/>
      <c r="G50" s="1416"/>
      <c r="H50" s="1416"/>
      <c r="I50" s="1416"/>
      <c r="J50" s="1416"/>
      <c r="K50" s="1416"/>
      <c r="L50" s="1416"/>
      <c r="M50" s="1416"/>
      <c r="N50" s="1416"/>
      <c r="O50" s="1416"/>
      <c r="P50" s="1416"/>
      <c r="Q50" s="1416"/>
      <c r="R50" s="1416"/>
      <c r="S50" s="1416"/>
      <c r="T50" s="1416"/>
      <c r="U50" s="1416"/>
      <c r="V50" s="1416"/>
      <c r="W50" s="1416"/>
      <c r="X50" s="1416"/>
      <c r="Y50" s="1416"/>
      <c r="Z50" s="1416"/>
      <c r="AA50" s="1416"/>
      <c r="AB50" s="1416"/>
      <c r="AC50" s="1416"/>
      <c r="AD50" s="1416"/>
      <c r="AE50" s="1416"/>
      <c r="AF50" s="1416"/>
      <c r="AG50" s="1416"/>
      <c r="AH50" s="1416"/>
      <c r="AI50" s="1416"/>
      <c r="AJ50" s="1416"/>
      <c r="AK50" s="1416"/>
      <c r="AL50" s="1416"/>
      <c r="AM50" s="1416"/>
      <c r="AN50" s="1416"/>
      <c r="AO50" s="1416"/>
      <c r="AP50" s="1416"/>
      <c r="AQ50" s="1416"/>
      <c r="AR50" s="1416"/>
      <c r="AS50" s="1416"/>
      <c r="AT50" s="1416"/>
      <c r="AU50" s="1416"/>
      <c r="AV50" s="1416"/>
      <c r="AW50" s="1416"/>
      <c r="AX50" s="1416"/>
      <c r="AY50" s="1416"/>
      <c r="AZ50" s="1416"/>
      <c r="BA50" s="1416"/>
      <c r="BB50" s="1416"/>
      <c r="BC50" s="1416"/>
      <c r="BD50" s="1416"/>
      <c r="BE50" s="1416"/>
      <c r="BF50" s="1416"/>
      <c r="BG50" s="1416"/>
      <c r="BH50" s="1416"/>
      <c r="BI50" s="1416"/>
      <c r="BJ50" s="1416"/>
      <c r="BK50" s="1416"/>
      <c r="BL50" s="1416"/>
      <c r="BM50" s="1416"/>
      <c r="BN50" s="1416"/>
      <c r="BO50" s="1416"/>
      <c r="BP50" s="1416"/>
      <c r="BQ50" s="1416"/>
      <c r="BR50" s="1416"/>
      <c r="BS50" s="1416"/>
      <c r="BT50" s="1416"/>
      <c r="BU50" s="1416"/>
      <c r="BV50" s="1416"/>
      <c r="BW50" s="1416"/>
      <c r="BX50" s="1416"/>
      <c r="BY50" s="1416"/>
      <c r="BZ50" s="1416"/>
      <c r="CA50" s="820"/>
      <c r="CB50" s="823"/>
      <c r="CC50" s="823"/>
      <c r="CD50" s="823"/>
      <c r="CE50" s="823"/>
      <c r="CF50" s="823"/>
      <c r="CG50" s="823"/>
      <c r="CH50" s="823"/>
      <c r="CI50" s="823"/>
    </row>
    <row r="51" spans="1:87">
      <c r="A51" s="1416" t="s">
        <v>89</v>
      </c>
      <c r="B51" s="1416"/>
      <c r="C51" s="1416"/>
      <c r="D51" s="1416"/>
      <c r="E51" s="1416"/>
      <c r="F51" s="1416"/>
      <c r="G51" s="1416"/>
      <c r="H51" s="1416"/>
      <c r="I51" s="1416"/>
      <c r="J51" s="1416"/>
      <c r="K51" s="1416"/>
      <c r="L51" s="1416"/>
      <c r="M51" s="1416"/>
      <c r="N51" s="1416"/>
      <c r="O51" s="1416"/>
      <c r="P51" s="1416"/>
      <c r="Q51" s="1416"/>
      <c r="R51" s="1416"/>
      <c r="S51" s="1416"/>
      <c r="T51" s="1416"/>
      <c r="U51" s="1416"/>
      <c r="V51" s="1416"/>
      <c r="W51" s="1416"/>
      <c r="X51" s="1416"/>
      <c r="Y51" s="1416"/>
      <c r="Z51" s="1416"/>
      <c r="AA51" s="1416"/>
      <c r="AB51" s="1416"/>
      <c r="AC51" s="1416"/>
      <c r="AD51" s="1416"/>
      <c r="AE51" s="1416"/>
      <c r="AF51" s="1416"/>
      <c r="AG51" s="1416"/>
      <c r="AH51" s="1416"/>
      <c r="AI51" s="1416"/>
      <c r="AJ51" s="1416"/>
      <c r="AK51" s="1416"/>
      <c r="AL51" s="1416"/>
      <c r="AM51" s="1416"/>
      <c r="AN51" s="1416"/>
      <c r="AO51" s="1416"/>
      <c r="AP51" s="1416"/>
      <c r="AQ51" s="1416"/>
      <c r="AR51" s="1416"/>
      <c r="AS51" s="1416"/>
      <c r="AT51" s="1416"/>
      <c r="AU51" s="1416"/>
      <c r="AV51" s="1416"/>
      <c r="AW51" s="1416"/>
      <c r="AX51" s="1416"/>
      <c r="AY51" s="1416"/>
      <c r="AZ51" s="1416"/>
      <c r="BA51" s="1416"/>
      <c r="BB51" s="1416"/>
      <c r="BC51" s="1416"/>
      <c r="BD51" s="1416"/>
      <c r="BE51" s="1416"/>
      <c r="BF51" s="1416"/>
      <c r="BG51" s="1416"/>
      <c r="BH51" s="1416"/>
      <c r="BI51" s="1416"/>
      <c r="BJ51" s="1416"/>
      <c r="BK51" s="1416"/>
      <c r="BL51" s="1416"/>
      <c r="BM51" s="1416"/>
      <c r="BN51" s="1416"/>
      <c r="BO51" s="1416"/>
      <c r="BP51" s="1416"/>
      <c r="BQ51" s="1416"/>
      <c r="BR51" s="1416"/>
      <c r="BS51" s="1416"/>
      <c r="BT51" s="1416"/>
      <c r="BU51" s="1416"/>
      <c r="BV51" s="1416"/>
      <c r="BW51" s="1416"/>
      <c r="BX51" s="1416"/>
      <c r="BY51" s="1416"/>
      <c r="BZ51" s="1416"/>
      <c r="CA51" s="820"/>
      <c r="CB51" s="823"/>
      <c r="CC51" s="823"/>
      <c r="CD51" s="823"/>
      <c r="CE51" s="823"/>
      <c r="CF51" s="823"/>
      <c r="CG51" s="823"/>
      <c r="CH51" s="823"/>
      <c r="CI51" s="823"/>
    </row>
    <row r="52" spans="1:87" s="469" customFormat="1" ht="23.25">
      <c r="A52" s="1426" t="s">
        <v>3086</v>
      </c>
      <c r="B52" s="1426"/>
      <c r="C52" s="1426"/>
      <c r="D52" s="1426"/>
      <c r="E52" s="1426"/>
      <c r="F52" s="1426"/>
      <c r="G52" s="1426"/>
      <c r="H52" s="1426"/>
      <c r="I52" s="1426"/>
      <c r="J52" s="1426"/>
      <c r="K52" s="1426"/>
      <c r="L52" s="1426"/>
      <c r="M52" s="1426"/>
      <c r="N52" s="1426"/>
      <c r="O52" s="1426"/>
      <c r="P52" s="1426"/>
      <c r="Q52" s="1426"/>
      <c r="R52" s="1426"/>
      <c r="S52" s="1426"/>
      <c r="T52" s="1426"/>
      <c r="U52" s="1426"/>
      <c r="V52" s="1426"/>
      <c r="W52" s="1426"/>
      <c r="X52" s="1426"/>
      <c r="Y52" s="1426"/>
      <c r="Z52" s="1426"/>
      <c r="AA52" s="1426"/>
      <c r="AB52" s="1426"/>
      <c r="AC52" s="1426"/>
      <c r="AD52" s="1426"/>
      <c r="AE52" s="1426"/>
      <c r="AF52" s="1426"/>
      <c r="AG52" s="1426"/>
      <c r="AH52" s="1426"/>
      <c r="AI52" s="1426"/>
      <c r="AJ52" s="1426"/>
      <c r="AK52" s="1426"/>
      <c r="AL52" s="1426"/>
      <c r="AM52" s="1426"/>
      <c r="AN52" s="1426"/>
      <c r="AO52" s="1426"/>
      <c r="AP52" s="1426"/>
      <c r="AQ52" s="1426"/>
      <c r="AR52" s="1426"/>
      <c r="AS52" s="1426"/>
      <c r="AT52" s="1426"/>
      <c r="AU52" s="1426"/>
      <c r="AV52" s="1426"/>
      <c r="AW52" s="1426"/>
      <c r="AX52" s="1426"/>
      <c r="AY52" s="1426"/>
      <c r="AZ52" s="1426"/>
      <c r="BA52" s="1426"/>
      <c r="BB52" s="1426"/>
      <c r="BC52" s="1426"/>
      <c r="BD52" s="1426"/>
      <c r="BE52" s="1426"/>
      <c r="BF52" s="1426"/>
      <c r="BG52" s="1426"/>
      <c r="BH52" s="1426"/>
      <c r="BI52" s="1426"/>
      <c r="BJ52" s="1426"/>
      <c r="BK52" s="1426"/>
      <c r="BL52" s="1426"/>
      <c r="BM52" s="1426"/>
      <c r="BN52" s="1426"/>
      <c r="BO52" s="1426"/>
      <c r="BP52" s="1426"/>
      <c r="BQ52" s="1426"/>
      <c r="BR52" s="1426"/>
      <c r="BS52" s="1426"/>
      <c r="BT52" s="1426"/>
      <c r="BU52" s="1426"/>
      <c r="BV52" s="1426"/>
      <c r="BW52" s="1426"/>
      <c r="BX52" s="1426"/>
      <c r="BY52" s="1426"/>
      <c r="BZ52" s="1426"/>
      <c r="CA52" s="818"/>
      <c r="CB52" s="819"/>
      <c r="CC52" s="819"/>
      <c r="CD52" s="819"/>
      <c r="CE52" s="819"/>
      <c r="CF52" s="819"/>
      <c r="CG52" s="819"/>
      <c r="CH52" s="819"/>
      <c r="CI52" s="819"/>
    </row>
    <row r="53" spans="1:87" s="469" customFormat="1" ht="9.9499999999999993" customHeight="1">
      <c r="B53" s="1048"/>
      <c r="C53" s="1048"/>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c r="AF53" s="1048"/>
      <c r="AG53" s="1048"/>
      <c r="AH53" s="1048"/>
      <c r="AI53" s="1048"/>
      <c r="AJ53" s="1048"/>
      <c r="AK53" s="1048"/>
      <c r="AL53" s="1048"/>
      <c r="AM53" s="1048"/>
      <c r="AN53" s="1048"/>
      <c r="AO53" s="1048"/>
      <c r="AP53" s="1048"/>
      <c r="AQ53" s="1048"/>
      <c r="AR53" s="1048"/>
      <c r="AS53" s="1048"/>
      <c r="AT53" s="1048"/>
      <c r="AW53" s="1048"/>
      <c r="BW53" s="1425" t="s">
        <v>88</v>
      </c>
      <c r="BX53" s="1425"/>
      <c r="BY53" s="1420">
        <v>1</v>
      </c>
      <c r="BZ53" s="1420"/>
      <c r="CA53" s="509"/>
    </row>
    <row r="54" spans="1:87" s="469" customFormat="1" ht="9.9499999999999993" customHeight="1">
      <c r="B54" s="1048"/>
      <c r="C54" s="1048"/>
      <c r="D54" s="1048"/>
      <c r="E54" s="1048"/>
      <c r="F54" s="1048"/>
      <c r="G54" s="1048"/>
      <c r="H54" s="1048"/>
      <c r="I54" s="1048"/>
      <c r="J54" s="1048"/>
      <c r="K54" s="1048"/>
      <c r="L54" s="1048"/>
      <c r="M54" s="1048"/>
      <c r="N54" s="1048"/>
      <c r="O54" s="1048"/>
      <c r="P54" s="1048"/>
      <c r="Q54" s="1048"/>
      <c r="R54" s="1048"/>
      <c r="S54" s="1048"/>
      <c r="T54" s="1048"/>
      <c r="U54" s="1048"/>
      <c r="V54" s="1048"/>
      <c r="W54" s="1048"/>
      <c r="X54" s="1048"/>
      <c r="Y54" s="1048"/>
      <c r="Z54" s="1048"/>
      <c r="AA54" s="1048"/>
      <c r="AB54" s="1048"/>
      <c r="AC54" s="1048"/>
      <c r="AD54" s="1048"/>
      <c r="AE54" s="1048"/>
      <c r="AF54" s="1048"/>
      <c r="AG54" s="1048"/>
      <c r="AH54" s="1048"/>
      <c r="AI54" s="1048"/>
      <c r="AJ54" s="1048"/>
      <c r="AK54" s="1048"/>
      <c r="AL54" s="1048"/>
      <c r="AM54" s="1048"/>
      <c r="AN54" s="1048"/>
      <c r="AO54" s="1048"/>
      <c r="AP54" s="1048"/>
      <c r="AQ54" s="1048"/>
      <c r="AR54" s="1048"/>
      <c r="AS54" s="1048"/>
      <c r="AT54" s="1048"/>
      <c r="AW54" s="1048"/>
      <c r="CA54" s="509"/>
    </row>
    <row r="55" spans="1:87" s="469" customFormat="1" ht="12" customHeight="1">
      <c r="A55" s="1421" t="s">
        <v>87</v>
      </c>
      <c r="B55" s="1421"/>
      <c r="C55" s="1421"/>
      <c r="D55" s="1421"/>
      <c r="E55" s="1421"/>
      <c r="F55" s="1421"/>
      <c r="G55" s="1421"/>
      <c r="H55" s="1423" t="s">
        <v>2996</v>
      </c>
      <c r="I55" s="1423"/>
      <c r="J55" s="1423"/>
      <c r="K55" s="1423"/>
      <c r="L55" s="1423"/>
      <c r="M55" s="1423"/>
      <c r="N55" s="1423"/>
      <c r="O55" s="1423"/>
      <c r="P55" s="1423"/>
      <c r="Q55" s="1423"/>
      <c r="R55" s="1423"/>
      <c r="S55" s="1423"/>
      <c r="T55" s="1423"/>
      <c r="U55" s="1423"/>
      <c r="V55" s="1423"/>
      <c r="W55" s="1423"/>
      <c r="X55" s="1421" t="s">
        <v>86</v>
      </c>
      <c r="Y55" s="1421"/>
      <c r="Z55" s="1421"/>
      <c r="AA55" s="1421"/>
      <c r="AB55" s="1421"/>
      <c r="AC55" s="1421"/>
      <c r="AD55" s="1421"/>
      <c r="AE55" s="1427" t="s">
        <v>2911</v>
      </c>
      <c r="AF55" s="1427"/>
      <c r="AG55" s="1427"/>
      <c r="AH55" s="1427"/>
      <c r="AI55" s="1425" t="s">
        <v>18</v>
      </c>
      <c r="AJ55" s="1425"/>
      <c r="AK55" s="1427">
        <v>10</v>
      </c>
      <c r="AL55" s="1427"/>
      <c r="AM55" s="1425" t="s">
        <v>17</v>
      </c>
      <c r="AN55" s="1425"/>
      <c r="AO55" s="1427">
        <v>12</v>
      </c>
      <c r="AP55" s="1427"/>
      <c r="AQ55" s="1425" t="s">
        <v>16</v>
      </c>
      <c r="AR55" s="1425"/>
      <c r="AS55" s="1425" t="s">
        <v>43</v>
      </c>
      <c r="AT55" s="1425"/>
      <c r="AU55" s="1427" t="s">
        <v>2805</v>
      </c>
      <c r="AV55" s="1427"/>
      <c r="AW55" s="1425" t="s">
        <v>42</v>
      </c>
      <c r="AX55" s="1425"/>
      <c r="AY55" s="1425" t="s">
        <v>40</v>
      </c>
      <c r="AZ55" s="1425"/>
      <c r="BA55" s="1427">
        <v>10</v>
      </c>
      <c r="BB55" s="1427"/>
      <c r="BC55" s="1425" t="s">
        <v>17</v>
      </c>
      <c r="BD55" s="1425"/>
      <c r="BE55" s="1427">
        <v>13</v>
      </c>
      <c r="BF55" s="1427"/>
      <c r="BG55" s="1425" t="s">
        <v>16</v>
      </c>
      <c r="BH55" s="1425"/>
      <c r="BI55" s="1425" t="s">
        <v>43</v>
      </c>
      <c r="BJ55" s="1425"/>
      <c r="BK55" s="1427" t="s">
        <v>3087</v>
      </c>
      <c r="BL55" s="1427"/>
      <c r="BM55" s="1425" t="s">
        <v>42</v>
      </c>
      <c r="BN55" s="1425"/>
      <c r="BO55" s="1425"/>
      <c r="BP55" s="1429"/>
      <c r="BQ55" s="1425"/>
      <c r="BR55" s="1425"/>
      <c r="BS55" s="1431">
        <v>1</v>
      </c>
      <c r="BT55" s="1431"/>
      <c r="BU55" s="1425" t="s">
        <v>51</v>
      </c>
      <c r="BV55" s="1425"/>
      <c r="BW55" s="1431">
        <v>2</v>
      </c>
      <c r="BX55" s="1431"/>
      <c r="BY55" s="1425" t="s">
        <v>16</v>
      </c>
      <c r="BZ55" s="1425"/>
      <c r="CA55" s="509"/>
    </row>
    <row r="56" spans="1:87" s="469" customFormat="1" ht="12" customHeight="1">
      <c r="A56" s="1422"/>
      <c r="B56" s="1422"/>
      <c r="C56" s="1422"/>
      <c r="D56" s="1422"/>
      <c r="E56" s="1422"/>
      <c r="F56" s="1422"/>
      <c r="G56" s="1422"/>
      <c r="H56" s="1424"/>
      <c r="I56" s="1424"/>
      <c r="J56" s="1424"/>
      <c r="K56" s="1424"/>
      <c r="L56" s="1424"/>
      <c r="M56" s="1424"/>
      <c r="N56" s="1424"/>
      <c r="O56" s="1424"/>
      <c r="P56" s="1424"/>
      <c r="Q56" s="1424"/>
      <c r="R56" s="1424"/>
      <c r="S56" s="1424"/>
      <c r="T56" s="1424"/>
      <c r="U56" s="1424"/>
      <c r="V56" s="1424"/>
      <c r="W56" s="1424"/>
      <c r="X56" s="1422"/>
      <c r="Y56" s="1422"/>
      <c r="Z56" s="1422"/>
      <c r="AA56" s="1422"/>
      <c r="AB56" s="1422"/>
      <c r="AC56" s="1422"/>
      <c r="AD56" s="1422"/>
      <c r="AE56" s="1428"/>
      <c r="AF56" s="1428"/>
      <c r="AG56" s="1428"/>
      <c r="AH56" s="1428"/>
      <c r="AI56" s="1420"/>
      <c r="AJ56" s="1420"/>
      <c r="AK56" s="1428"/>
      <c r="AL56" s="1428"/>
      <c r="AM56" s="1420"/>
      <c r="AN56" s="1420"/>
      <c r="AO56" s="1428"/>
      <c r="AP56" s="1428"/>
      <c r="AQ56" s="1420"/>
      <c r="AR56" s="1420"/>
      <c r="AS56" s="1420"/>
      <c r="AT56" s="1420"/>
      <c r="AU56" s="1428"/>
      <c r="AV56" s="1428"/>
      <c r="AW56" s="1420"/>
      <c r="AX56" s="1420"/>
      <c r="AY56" s="1420"/>
      <c r="AZ56" s="1420"/>
      <c r="BA56" s="1428"/>
      <c r="BB56" s="1428"/>
      <c r="BC56" s="1420"/>
      <c r="BD56" s="1420"/>
      <c r="BE56" s="1428"/>
      <c r="BF56" s="1428"/>
      <c r="BG56" s="1420"/>
      <c r="BH56" s="1420"/>
      <c r="BI56" s="1420"/>
      <c r="BJ56" s="1420"/>
      <c r="BK56" s="1428"/>
      <c r="BL56" s="1428"/>
      <c r="BM56" s="1420"/>
      <c r="BN56" s="1420"/>
      <c r="BO56" s="1430"/>
      <c r="BP56" s="1430"/>
      <c r="BQ56" s="1420"/>
      <c r="BR56" s="1420"/>
      <c r="BS56" s="1420" t="s">
        <v>52</v>
      </c>
      <c r="BT56" s="1420"/>
      <c r="BU56" s="1420"/>
      <c r="BV56" s="1420"/>
      <c r="BW56" s="1435">
        <v>0</v>
      </c>
      <c r="BX56" s="1435"/>
      <c r="BY56" s="1420" t="s">
        <v>16</v>
      </c>
      <c r="BZ56" s="1420"/>
      <c r="CA56" s="509"/>
    </row>
    <row r="57" spans="1:87" s="469" customFormat="1" ht="12" customHeight="1">
      <c r="A57" s="1049"/>
      <c r="B57" s="1049"/>
      <c r="C57" s="1049"/>
      <c r="D57" s="1049"/>
      <c r="E57" s="1049"/>
      <c r="F57" s="1049"/>
      <c r="G57" s="1049"/>
      <c r="H57" s="1050"/>
      <c r="I57" s="1050"/>
      <c r="J57" s="1050"/>
      <c r="K57" s="1050"/>
      <c r="L57" s="1050"/>
      <c r="M57" s="1050"/>
      <c r="N57" s="1050"/>
      <c r="O57" s="1050"/>
      <c r="P57" s="1050"/>
      <c r="Q57" s="1050"/>
      <c r="R57" s="1050"/>
      <c r="S57" s="1050"/>
      <c r="T57" s="1050"/>
      <c r="U57" s="1050"/>
      <c r="V57" s="1050"/>
      <c r="W57" s="1050"/>
      <c r="X57" s="1049"/>
      <c r="Y57" s="1049"/>
      <c r="Z57" s="1049"/>
      <c r="AA57" s="1049"/>
      <c r="AB57" s="1049"/>
      <c r="AC57" s="1049"/>
      <c r="AD57" s="1049"/>
      <c r="AE57" s="925"/>
      <c r="AF57" s="925"/>
      <c r="AG57" s="1051"/>
      <c r="AH57" s="1052"/>
      <c r="AI57" s="924"/>
      <c r="AJ57" s="925"/>
      <c r="AK57" s="1051"/>
      <c r="AL57" s="1051"/>
      <c r="AM57" s="925"/>
      <c r="AN57" s="925"/>
      <c r="AO57" s="1051"/>
      <c r="AP57" s="1051"/>
      <c r="AQ57" s="925"/>
      <c r="AR57" s="925"/>
      <c r="AS57" s="925"/>
      <c r="AT57" s="925"/>
      <c r="AU57" s="1051"/>
      <c r="AV57" s="1051"/>
      <c r="AW57" s="925"/>
      <c r="AX57" s="925"/>
      <c r="AY57" s="925"/>
      <c r="AZ57" s="925"/>
      <c r="BA57" s="1051"/>
      <c r="BB57" s="1051"/>
      <c r="BC57" s="925"/>
      <c r="BD57" s="925"/>
      <c r="BE57" s="1051"/>
      <c r="BF57" s="1051"/>
      <c r="BG57" s="925"/>
      <c r="BH57" s="925"/>
      <c r="BI57" s="925"/>
      <c r="BJ57" s="925"/>
      <c r="BK57" s="1051"/>
      <c r="BL57" s="1051"/>
      <c r="BM57" s="925"/>
      <c r="BN57" s="925"/>
      <c r="BQ57" s="925"/>
      <c r="BR57" s="925"/>
      <c r="BS57" s="925"/>
      <c r="BT57" s="925"/>
      <c r="BU57" s="925"/>
      <c r="BV57" s="925"/>
      <c r="BW57" s="1053"/>
      <c r="BX57" s="1053"/>
      <c r="BY57" s="925"/>
      <c r="BZ57" s="925"/>
      <c r="CA57" s="509"/>
    </row>
    <row r="58" spans="1:87" ht="10.5" customHeight="1">
      <c r="G58" s="1054"/>
      <c r="M58" s="1437">
        <v>0.29166666666666669</v>
      </c>
      <c r="N58" s="1438"/>
      <c r="O58" s="1438"/>
      <c r="P58" s="1438"/>
      <c r="Q58" s="1436" t="s">
        <v>40</v>
      </c>
      <c r="R58" s="1436"/>
      <c r="S58" s="1436"/>
      <c r="T58" s="1437">
        <v>0.35416666666666669</v>
      </c>
      <c r="U58" s="1438"/>
      <c r="V58" s="1438"/>
      <c r="W58" s="1438"/>
      <c r="AF58" s="1437">
        <v>0.47916666666666669</v>
      </c>
      <c r="AG58" s="1438"/>
      <c r="AH58" s="1438"/>
      <c r="AI58" s="1438"/>
      <c r="AJ58" s="1436" t="s">
        <v>40</v>
      </c>
      <c r="AK58" s="1436"/>
      <c r="AL58" s="1436"/>
      <c r="AM58" s="1437">
        <v>6.25E-2</v>
      </c>
      <c r="AN58" s="1438"/>
      <c r="AO58" s="1438"/>
      <c r="AP58" s="1438"/>
      <c r="BA58" s="1437">
        <v>0.20833333333333334</v>
      </c>
      <c r="BB58" s="1438"/>
      <c r="BC58" s="1438"/>
      <c r="BD58" s="1438"/>
      <c r="BE58" s="1436" t="s">
        <v>40</v>
      </c>
      <c r="BF58" s="1436"/>
      <c r="BG58" s="1436"/>
      <c r="BH58" s="1436"/>
      <c r="BI58" s="1437">
        <v>0.29166666666666669</v>
      </c>
      <c r="BJ58" s="1438"/>
      <c r="BK58" s="1438"/>
      <c r="BL58" s="1438"/>
      <c r="CA58" s="820"/>
    </row>
    <row r="59" spans="1:87" ht="10.5" customHeight="1">
      <c r="G59" s="1054"/>
      <c r="O59" s="1439" t="s">
        <v>1837</v>
      </c>
      <c r="P59" s="1442"/>
      <c r="Q59" s="1442"/>
      <c r="R59" s="1442"/>
      <c r="S59" s="1442"/>
      <c r="T59" s="1443"/>
      <c r="U59" s="1054"/>
      <c r="V59" s="1054"/>
      <c r="W59" s="1054"/>
      <c r="X59" s="1054"/>
      <c r="Y59" s="1054"/>
      <c r="Z59" s="1054"/>
      <c r="AA59" s="1054"/>
      <c r="AB59" s="1054"/>
      <c r="AC59" s="1054"/>
      <c r="AD59" s="1054"/>
      <c r="AE59" s="1054"/>
      <c r="AF59" s="1054"/>
      <c r="AG59" s="1054"/>
      <c r="AH59" s="1439" t="s">
        <v>1837</v>
      </c>
      <c r="AI59" s="1440"/>
      <c r="AJ59" s="1440"/>
      <c r="AK59" s="1440"/>
      <c r="AL59" s="1440"/>
      <c r="AM59" s="1440"/>
      <c r="AN59" s="1441"/>
      <c r="AO59" s="1054"/>
      <c r="AP59" s="1054"/>
      <c r="AQ59" s="1054"/>
      <c r="AR59" s="1054"/>
      <c r="AS59" s="1054"/>
      <c r="AT59" s="1054"/>
      <c r="AU59" s="1054"/>
      <c r="AV59" s="1054"/>
      <c r="AW59" s="1054"/>
      <c r="AX59" s="1054"/>
      <c r="AY59" s="1054"/>
      <c r="AZ59" s="1054"/>
      <c r="BA59" s="1054"/>
      <c r="BB59" s="1054"/>
      <c r="BC59" s="1446" t="s">
        <v>1837</v>
      </c>
      <c r="BD59" s="1440"/>
      <c r="BE59" s="1440"/>
      <c r="BF59" s="1440"/>
      <c r="BG59" s="1440"/>
      <c r="BH59" s="1440"/>
      <c r="BI59" s="1440"/>
      <c r="BJ59" s="1441"/>
      <c r="BK59" s="1054"/>
      <c r="BL59" s="1054"/>
      <c r="BM59" s="1054"/>
      <c r="BN59" s="1054"/>
      <c r="BO59" s="1054"/>
      <c r="BP59" s="1054"/>
      <c r="BQ59" s="1054"/>
      <c r="BR59" s="1054"/>
      <c r="BS59" s="1054"/>
      <c r="BT59" s="1054"/>
      <c r="BU59" s="1054"/>
      <c r="BV59" s="1054"/>
      <c r="BW59" s="1054"/>
      <c r="BX59" s="1054"/>
      <c r="BY59" s="1054"/>
      <c r="BZ59" s="1054"/>
      <c r="CA59" s="820"/>
    </row>
    <row r="60" spans="1:87" ht="10.5" customHeight="1">
      <c r="A60" s="1400" t="s">
        <v>84</v>
      </c>
      <c r="B60" s="1400"/>
      <c r="C60" s="1400"/>
      <c r="D60" s="1400" t="s">
        <v>83</v>
      </c>
      <c r="E60" s="1400"/>
      <c r="F60" s="1400"/>
      <c r="G60" s="1054"/>
      <c r="O60" s="1054"/>
      <c r="P60" s="1054"/>
      <c r="Q60" s="1054"/>
      <c r="R60" s="1054"/>
      <c r="S60" s="1054"/>
      <c r="T60" s="1054"/>
      <c r="U60" s="1054"/>
      <c r="V60" s="1054"/>
      <c r="W60" s="1054"/>
      <c r="X60" s="1054"/>
      <c r="Y60" s="1054"/>
      <c r="Z60" s="1054"/>
      <c r="AA60" s="1054"/>
      <c r="AB60" s="1054"/>
      <c r="AC60" s="1054"/>
      <c r="AD60" s="1054"/>
      <c r="AE60" s="1054"/>
      <c r="AF60" s="1054"/>
      <c r="AG60" s="1054"/>
      <c r="AH60" s="1055"/>
      <c r="AI60" s="1401" t="s">
        <v>3083</v>
      </c>
      <c r="AJ60" s="1401"/>
      <c r="AK60" s="1401"/>
      <c r="AL60" s="1401"/>
      <c r="AM60" s="1401"/>
      <c r="AN60" s="1401"/>
      <c r="AO60" s="1401"/>
      <c r="AP60" s="1401"/>
      <c r="AQ60" s="1401"/>
      <c r="AR60" s="1401"/>
      <c r="AS60" s="1401"/>
      <c r="AT60" s="1401"/>
      <c r="AU60" s="1401"/>
      <c r="AV60" s="1401"/>
      <c r="AW60" s="1401"/>
      <c r="AX60" s="1401"/>
      <c r="AY60" s="1432" t="s">
        <v>3084</v>
      </c>
      <c r="AZ60" s="1433"/>
      <c r="BA60" s="1433"/>
      <c r="BB60" s="1433"/>
      <c r="BC60" s="1433"/>
      <c r="BD60" s="1433"/>
      <c r="BE60" s="1433"/>
      <c r="BF60" s="1433"/>
      <c r="BG60" s="1433"/>
      <c r="BH60" s="1433"/>
      <c r="BI60" s="1433"/>
      <c r="BJ60" s="1433"/>
      <c r="BK60" s="1433"/>
      <c r="BL60" s="1433"/>
      <c r="BM60" s="1433"/>
      <c r="BN60" s="1433"/>
      <c r="BO60" s="1433"/>
      <c r="BP60" s="1433"/>
      <c r="BQ60" s="1433"/>
      <c r="BR60" s="1433"/>
      <c r="BS60" s="1433"/>
      <c r="BT60" s="1434"/>
      <c r="BU60" s="1469" t="s">
        <v>79</v>
      </c>
      <c r="BV60" s="1470"/>
      <c r="BW60" s="1470"/>
      <c r="BX60" s="1470"/>
      <c r="BY60" s="1470"/>
      <c r="BZ60" s="1471"/>
      <c r="CA60" s="820"/>
    </row>
    <row r="61" spans="1:87" ht="10.5" customHeight="1">
      <c r="A61" s="1400"/>
      <c r="B61" s="1400"/>
      <c r="C61" s="1400"/>
      <c r="D61" s="1400"/>
      <c r="E61" s="1400"/>
      <c r="F61" s="1400"/>
      <c r="G61" s="1404"/>
      <c r="H61" s="1404"/>
      <c r="I61" s="1402">
        <v>0.25</v>
      </c>
      <c r="J61" s="1402"/>
      <c r="K61" s="1402"/>
      <c r="L61" s="1402"/>
      <c r="M61" s="1402">
        <v>0.29166666666666669</v>
      </c>
      <c r="N61" s="1402"/>
      <c r="O61" s="1402"/>
      <c r="P61" s="1402"/>
      <c r="Q61" s="1402">
        <v>0.33333333333333331</v>
      </c>
      <c r="R61" s="1402"/>
      <c r="S61" s="1402"/>
      <c r="T61" s="1402"/>
      <c r="U61" s="1402">
        <v>0.375</v>
      </c>
      <c r="V61" s="1402"/>
      <c r="W61" s="1402"/>
      <c r="X61" s="1402"/>
      <c r="Y61" s="1402">
        <v>0.41666666666666669</v>
      </c>
      <c r="Z61" s="1419"/>
      <c r="AA61" s="1402"/>
      <c r="AB61" s="1402"/>
      <c r="AC61" s="1402">
        <v>0.45833333333333331</v>
      </c>
      <c r="AD61" s="1402"/>
      <c r="AE61" s="1402"/>
      <c r="AF61" s="1402"/>
      <c r="AG61" s="1403">
        <v>0.5</v>
      </c>
      <c r="AH61" s="1403"/>
      <c r="AI61" s="1403"/>
      <c r="AJ61" s="1403"/>
      <c r="AK61" s="1403">
        <v>4.1666666666666664E-2</v>
      </c>
      <c r="AL61" s="1403"/>
      <c r="AM61" s="1403"/>
      <c r="AN61" s="1403"/>
      <c r="AO61" s="1403">
        <v>8.3333333333333329E-2</v>
      </c>
      <c r="AP61" s="1403"/>
      <c r="AQ61" s="1403"/>
      <c r="AR61" s="1403"/>
      <c r="AS61" s="1403">
        <v>0.125</v>
      </c>
      <c r="AT61" s="1403"/>
      <c r="AU61" s="1403"/>
      <c r="AV61" s="1403"/>
      <c r="AW61" s="1403">
        <v>0.16666666666666666</v>
      </c>
      <c r="AX61" s="1403"/>
      <c r="AY61" s="1403"/>
      <c r="AZ61" s="1403"/>
      <c r="BA61" s="1403">
        <v>0.20833333333333334</v>
      </c>
      <c r="BB61" s="1403"/>
      <c r="BC61" s="1403"/>
      <c r="BD61" s="1403"/>
      <c r="BE61" s="1403">
        <v>0.25</v>
      </c>
      <c r="BF61" s="1403"/>
      <c r="BG61" s="1403"/>
      <c r="BH61" s="1403"/>
      <c r="BI61" s="1403">
        <v>0.29166666666666669</v>
      </c>
      <c r="BJ61" s="1403"/>
      <c r="BK61" s="1403"/>
      <c r="BL61" s="1403"/>
      <c r="BM61" s="1403">
        <v>0.33333333333333331</v>
      </c>
      <c r="BN61" s="1403"/>
      <c r="BO61" s="1403"/>
      <c r="BP61" s="1403"/>
      <c r="BQ61" s="1403">
        <v>0.375</v>
      </c>
      <c r="BR61" s="1403"/>
      <c r="BS61" s="1403"/>
      <c r="BT61" s="1403"/>
      <c r="BU61" s="1403">
        <v>0.41666666666666669</v>
      </c>
      <c r="BV61" s="1417"/>
      <c r="BW61" s="1417"/>
      <c r="BX61" s="1417"/>
      <c r="BY61" s="1403"/>
      <c r="BZ61" s="1403"/>
      <c r="CA61" s="822"/>
      <c r="CB61" s="823"/>
      <c r="CC61" s="823"/>
      <c r="CD61" s="823"/>
      <c r="CE61" s="823"/>
      <c r="CF61" s="823"/>
      <c r="CG61" s="823"/>
      <c r="CH61" s="823"/>
      <c r="CI61" s="823"/>
    </row>
    <row r="62" spans="1:87" ht="9.9499999999999993" customHeight="1">
      <c r="A62" s="1413">
        <f>AK55</f>
        <v>10</v>
      </c>
      <c r="B62" s="1413"/>
      <c r="C62" s="1413"/>
      <c r="D62" s="1398" t="s">
        <v>81</v>
      </c>
      <c r="E62" s="1398"/>
      <c r="F62" s="1398"/>
      <c r="G62" s="1447" t="s">
        <v>3085</v>
      </c>
      <c r="H62" s="1448"/>
      <c r="I62" s="1448"/>
      <c r="J62" s="1448"/>
      <c r="K62" s="1448"/>
      <c r="L62" s="1448"/>
      <c r="M62" s="1448"/>
      <c r="N62" s="1448"/>
      <c r="O62" s="1448"/>
      <c r="P62" s="1448"/>
      <c r="Q62" s="1448"/>
      <c r="R62" s="1448"/>
      <c r="S62" s="1448"/>
      <c r="T62" s="1448"/>
      <c r="U62" s="1448"/>
      <c r="V62" s="1449"/>
      <c r="W62" s="1056"/>
      <c r="X62" s="1056"/>
      <c r="Y62" s="1056"/>
      <c r="Z62" s="1056"/>
      <c r="AA62" s="1456" t="s">
        <v>3088</v>
      </c>
      <c r="AB62" s="1456"/>
      <c r="AC62" s="1460" t="s">
        <v>3089</v>
      </c>
      <c r="AD62" s="1461"/>
      <c r="AE62" s="1461"/>
      <c r="AF62" s="1461"/>
      <c r="AG62" s="1461"/>
      <c r="AH62" s="1461"/>
      <c r="AI62" s="1461"/>
      <c r="AJ62" s="1461"/>
      <c r="AK62" s="1461"/>
      <c r="AL62" s="1461"/>
      <c r="AM62" s="1461"/>
      <c r="AN62" s="1461"/>
      <c r="AO62" s="1461"/>
      <c r="AP62" s="1461"/>
      <c r="AQ62" s="1461"/>
      <c r="AR62" s="1462"/>
      <c r="AS62" s="1456" t="s">
        <v>3090</v>
      </c>
      <c r="AT62" s="1456"/>
      <c r="AU62" s="1457" t="s">
        <v>3091</v>
      </c>
      <c r="AV62" s="1457"/>
      <c r="AW62" s="1457"/>
      <c r="AX62" s="1457"/>
      <c r="AY62" s="1457"/>
      <c r="AZ62" s="1457"/>
      <c r="BA62" s="1457"/>
      <c r="BB62" s="1457"/>
      <c r="BC62" s="1457"/>
      <c r="BD62" s="1457"/>
      <c r="BE62" s="1457"/>
      <c r="BF62" s="1457"/>
      <c r="BG62" s="1457"/>
      <c r="BH62" s="1457"/>
      <c r="BI62" s="1456" t="s">
        <v>3090</v>
      </c>
      <c r="BJ62" s="1456"/>
      <c r="BK62" s="1458" t="s">
        <v>3092</v>
      </c>
      <c r="BL62" s="1458"/>
      <c r="BM62" s="1458"/>
      <c r="BN62" s="1458"/>
      <c r="BO62" s="1458" t="s">
        <v>3093</v>
      </c>
      <c r="BP62" s="1458"/>
      <c r="BQ62" s="1458"/>
      <c r="BR62" s="1458"/>
      <c r="BS62" s="1459" t="s">
        <v>3094</v>
      </c>
      <c r="BT62" s="1459"/>
      <c r="BU62" s="1459"/>
      <c r="BV62" s="1459"/>
      <c r="BW62" s="1459"/>
      <c r="BX62" s="1459"/>
      <c r="BY62" s="1459"/>
      <c r="BZ62" s="1459"/>
      <c r="CA62" s="824"/>
      <c r="CB62" s="823"/>
      <c r="CC62" s="823"/>
      <c r="CD62" s="823"/>
      <c r="CE62" s="823"/>
      <c r="CF62" s="823"/>
      <c r="CG62" s="823"/>
      <c r="CH62" s="823"/>
      <c r="CI62" s="823"/>
    </row>
    <row r="63" spans="1:87" ht="9.9499999999999993" customHeight="1">
      <c r="A63" s="1413"/>
      <c r="B63" s="1413"/>
      <c r="C63" s="1413"/>
      <c r="D63" s="1398"/>
      <c r="E63" s="1398"/>
      <c r="F63" s="1398"/>
      <c r="G63" s="1450"/>
      <c r="H63" s="1451"/>
      <c r="I63" s="1451"/>
      <c r="J63" s="1451"/>
      <c r="K63" s="1451"/>
      <c r="L63" s="1451"/>
      <c r="M63" s="1451"/>
      <c r="N63" s="1451"/>
      <c r="O63" s="1451"/>
      <c r="P63" s="1451"/>
      <c r="Q63" s="1451"/>
      <c r="R63" s="1451"/>
      <c r="S63" s="1451"/>
      <c r="T63" s="1451"/>
      <c r="U63" s="1451"/>
      <c r="V63" s="1452"/>
      <c r="W63" s="1067"/>
      <c r="X63" s="1067"/>
      <c r="Y63" s="1067"/>
      <c r="Z63" s="1067"/>
      <c r="AA63" s="1456"/>
      <c r="AB63" s="1456"/>
      <c r="AC63" s="1463"/>
      <c r="AD63" s="1464"/>
      <c r="AE63" s="1464"/>
      <c r="AF63" s="1464"/>
      <c r="AG63" s="1464"/>
      <c r="AH63" s="1464"/>
      <c r="AI63" s="1464"/>
      <c r="AJ63" s="1464"/>
      <c r="AK63" s="1464"/>
      <c r="AL63" s="1464"/>
      <c r="AM63" s="1464"/>
      <c r="AN63" s="1464"/>
      <c r="AO63" s="1464"/>
      <c r="AP63" s="1464"/>
      <c r="AQ63" s="1464"/>
      <c r="AR63" s="1465"/>
      <c r="AS63" s="1456"/>
      <c r="AT63" s="1456"/>
      <c r="AU63" s="1457"/>
      <c r="AV63" s="1457"/>
      <c r="AW63" s="1457"/>
      <c r="AX63" s="1457"/>
      <c r="AY63" s="1457"/>
      <c r="AZ63" s="1457"/>
      <c r="BA63" s="1457"/>
      <c r="BB63" s="1457"/>
      <c r="BC63" s="1457"/>
      <c r="BD63" s="1457"/>
      <c r="BE63" s="1457"/>
      <c r="BF63" s="1457"/>
      <c r="BG63" s="1457"/>
      <c r="BH63" s="1457"/>
      <c r="BI63" s="1456"/>
      <c r="BJ63" s="1456"/>
      <c r="BK63" s="1458"/>
      <c r="BL63" s="1458"/>
      <c r="BM63" s="1458"/>
      <c r="BN63" s="1458"/>
      <c r="BO63" s="1458"/>
      <c r="BP63" s="1458"/>
      <c r="BQ63" s="1458"/>
      <c r="BR63" s="1458"/>
      <c r="BS63" s="1459"/>
      <c r="BT63" s="1459"/>
      <c r="BU63" s="1459"/>
      <c r="BV63" s="1459"/>
      <c r="BW63" s="1459"/>
      <c r="BX63" s="1459"/>
      <c r="BY63" s="1459"/>
      <c r="BZ63" s="1459"/>
      <c r="CA63" s="824"/>
      <c r="CB63" s="823"/>
      <c r="CC63" s="823"/>
      <c r="CD63" s="823"/>
      <c r="CE63" s="823"/>
      <c r="CF63" s="823"/>
      <c r="CG63" s="823"/>
      <c r="CH63" s="823"/>
      <c r="CI63" s="823"/>
    </row>
    <row r="64" spans="1:87" ht="9.9499999999999993" customHeight="1">
      <c r="A64" s="1414"/>
      <c r="B64" s="1414"/>
      <c r="C64" s="1414"/>
      <c r="D64" s="1398"/>
      <c r="E64" s="1398"/>
      <c r="F64" s="1398"/>
      <c r="G64" s="1450"/>
      <c r="H64" s="1451"/>
      <c r="I64" s="1451"/>
      <c r="J64" s="1451"/>
      <c r="K64" s="1451"/>
      <c r="L64" s="1451"/>
      <c r="M64" s="1451"/>
      <c r="N64" s="1451"/>
      <c r="O64" s="1451"/>
      <c r="P64" s="1451"/>
      <c r="Q64" s="1451"/>
      <c r="R64" s="1451"/>
      <c r="S64" s="1451"/>
      <c r="T64" s="1451"/>
      <c r="U64" s="1451"/>
      <c r="V64" s="1452"/>
      <c r="W64" s="1067"/>
      <c r="X64" s="1067"/>
      <c r="Y64" s="1067"/>
      <c r="Z64" s="1067"/>
      <c r="AA64" s="1456"/>
      <c r="AB64" s="1456"/>
      <c r="AC64" s="1463"/>
      <c r="AD64" s="1464"/>
      <c r="AE64" s="1464"/>
      <c r="AF64" s="1464"/>
      <c r="AG64" s="1464"/>
      <c r="AH64" s="1464"/>
      <c r="AI64" s="1464"/>
      <c r="AJ64" s="1464"/>
      <c r="AK64" s="1464"/>
      <c r="AL64" s="1464"/>
      <c r="AM64" s="1464"/>
      <c r="AN64" s="1464"/>
      <c r="AO64" s="1464"/>
      <c r="AP64" s="1464"/>
      <c r="AQ64" s="1464"/>
      <c r="AR64" s="1465"/>
      <c r="AS64" s="1456"/>
      <c r="AT64" s="1456"/>
      <c r="AU64" s="1457"/>
      <c r="AV64" s="1457"/>
      <c r="AW64" s="1457"/>
      <c r="AX64" s="1457"/>
      <c r="AY64" s="1457"/>
      <c r="AZ64" s="1457"/>
      <c r="BA64" s="1457"/>
      <c r="BB64" s="1457"/>
      <c r="BC64" s="1457"/>
      <c r="BD64" s="1457"/>
      <c r="BE64" s="1457"/>
      <c r="BF64" s="1457"/>
      <c r="BG64" s="1457"/>
      <c r="BH64" s="1457"/>
      <c r="BI64" s="1456"/>
      <c r="BJ64" s="1456"/>
      <c r="BK64" s="1458"/>
      <c r="BL64" s="1458"/>
      <c r="BM64" s="1458"/>
      <c r="BN64" s="1458"/>
      <c r="BO64" s="1458"/>
      <c r="BP64" s="1458"/>
      <c r="BQ64" s="1458"/>
      <c r="BR64" s="1458"/>
      <c r="BS64" s="1459"/>
      <c r="BT64" s="1459"/>
      <c r="BU64" s="1459"/>
      <c r="BV64" s="1459"/>
      <c r="BW64" s="1459"/>
      <c r="BX64" s="1459"/>
      <c r="BY64" s="1459"/>
      <c r="BZ64" s="1459"/>
      <c r="CA64" s="825"/>
      <c r="CB64" s="823"/>
      <c r="CC64" s="823"/>
      <c r="CD64" s="823"/>
      <c r="CE64" s="823"/>
      <c r="CF64" s="823"/>
      <c r="CG64" s="823"/>
      <c r="CH64" s="823"/>
      <c r="CI64" s="823"/>
    </row>
    <row r="65" spans="1:87" ht="9.9499999999999993" customHeight="1">
      <c r="A65" s="1397" t="s">
        <v>17</v>
      </c>
      <c r="B65" s="1397"/>
      <c r="C65" s="1397"/>
      <c r="D65" s="1398"/>
      <c r="E65" s="1398"/>
      <c r="F65" s="1398"/>
      <c r="G65" s="1450"/>
      <c r="H65" s="1451"/>
      <c r="I65" s="1451"/>
      <c r="J65" s="1451"/>
      <c r="K65" s="1451"/>
      <c r="L65" s="1451"/>
      <c r="M65" s="1451"/>
      <c r="N65" s="1451"/>
      <c r="O65" s="1451"/>
      <c r="P65" s="1451"/>
      <c r="Q65" s="1451"/>
      <c r="R65" s="1451"/>
      <c r="S65" s="1451"/>
      <c r="T65" s="1451"/>
      <c r="U65" s="1451"/>
      <c r="V65" s="1452"/>
      <c r="W65" s="1067"/>
      <c r="X65" s="1067"/>
      <c r="Y65" s="1067"/>
      <c r="Z65" s="1067"/>
      <c r="AA65" s="1456"/>
      <c r="AB65" s="1456"/>
      <c r="AC65" s="1463"/>
      <c r="AD65" s="1464"/>
      <c r="AE65" s="1464"/>
      <c r="AF65" s="1464"/>
      <c r="AG65" s="1464"/>
      <c r="AH65" s="1464"/>
      <c r="AI65" s="1464"/>
      <c r="AJ65" s="1464"/>
      <c r="AK65" s="1464"/>
      <c r="AL65" s="1464"/>
      <c r="AM65" s="1464"/>
      <c r="AN65" s="1464"/>
      <c r="AO65" s="1464"/>
      <c r="AP65" s="1464"/>
      <c r="AQ65" s="1464"/>
      <c r="AR65" s="1465"/>
      <c r="AS65" s="1456"/>
      <c r="AT65" s="1456"/>
      <c r="AU65" s="1457"/>
      <c r="AV65" s="1457"/>
      <c r="AW65" s="1457"/>
      <c r="AX65" s="1457"/>
      <c r="AY65" s="1457"/>
      <c r="AZ65" s="1457"/>
      <c r="BA65" s="1457"/>
      <c r="BB65" s="1457"/>
      <c r="BC65" s="1457"/>
      <c r="BD65" s="1457"/>
      <c r="BE65" s="1457"/>
      <c r="BF65" s="1457"/>
      <c r="BG65" s="1457"/>
      <c r="BH65" s="1457"/>
      <c r="BI65" s="1456"/>
      <c r="BJ65" s="1456"/>
      <c r="BK65" s="1458"/>
      <c r="BL65" s="1458"/>
      <c r="BM65" s="1458"/>
      <c r="BN65" s="1458"/>
      <c r="BO65" s="1458"/>
      <c r="BP65" s="1458"/>
      <c r="BQ65" s="1458"/>
      <c r="BR65" s="1458"/>
      <c r="BS65" s="1459"/>
      <c r="BT65" s="1459"/>
      <c r="BU65" s="1459"/>
      <c r="BV65" s="1459"/>
      <c r="BW65" s="1459"/>
      <c r="BX65" s="1459"/>
      <c r="BY65" s="1459"/>
      <c r="BZ65" s="1459"/>
      <c r="CA65" s="825"/>
      <c r="CB65" s="823"/>
      <c r="CC65" s="823"/>
      <c r="CD65" s="823"/>
      <c r="CE65" s="823"/>
      <c r="CF65" s="823"/>
      <c r="CG65" s="823"/>
      <c r="CH65" s="823"/>
      <c r="CI65" s="823"/>
    </row>
    <row r="66" spans="1:87" ht="9.9499999999999993" customHeight="1">
      <c r="A66" s="1398"/>
      <c r="B66" s="1398"/>
      <c r="C66" s="1398"/>
      <c r="D66" s="1398"/>
      <c r="E66" s="1398"/>
      <c r="F66" s="1398"/>
      <c r="G66" s="1450"/>
      <c r="H66" s="1451"/>
      <c r="I66" s="1451"/>
      <c r="J66" s="1451"/>
      <c r="K66" s="1451"/>
      <c r="L66" s="1451"/>
      <c r="M66" s="1451"/>
      <c r="N66" s="1451"/>
      <c r="O66" s="1451"/>
      <c r="P66" s="1451"/>
      <c r="Q66" s="1451"/>
      <c r="R66" s="1451"/>
      <c r="S66" s="1451"/>
      <c r="T66" s="1451"/>
      <c r="U66" s="1451"/>
      <c r="V66" s="1452"/>
      <c r="W66" s="1067"/>
      <c r="X66" s="1067"/>
      <c r="Y66" s="1067"/>
      <c r="Z66" s="1067"/>
      <c r="AA66" s="1456"/>
      <c r="AB66" s="1456"/>
      <c r="AC66" s="1463"/>
      <c r="AD66" s="1464"/>
      <c r="AE66" s="1464"/>
      <c r="AF66" s="1464"/>
      <c r="AG66" s="1464"/>
      <c r="AH66" s="1464"/>
      <c r="AI66" s="1464"/>
      <c r="AJ66" s="1464"/>
      <c r="AK66" s="1464"/>
      <c r="AL66" s="1464"/>
      <c r="AM66" s="1464"/>
      <c r="AN66" s="1464"/>
      <c r="AO66" s="1464"/>
      <c r="AP66" s="1464"/>
      <c r="AQ66" s="1464"/>
      <c r="AR66" s="1465"/>
      <c r="AS66" s="1456"/>
      <c r="AT66" s="1456"/>
      <c r="AU66" s="1457"/>
      <c r="AV66" s="1457"/>
      <c r="AW66" s="1457"/>
      <c r="AX66" s="1457"/>
      <c r="AY66" s="1457"/>
      <c r="AZ66" s="1457"/>
      <c r="BA66" s="1457"/>
      <c r="BB66" s="1457"/>
      <c r="BC66" s="1457"/>
      <c r="BD66" s="1457"/>
      <c r="BE66" s="1457"/>
      <c r="BF66" s="1457"/>
      <c r="BG66" s="1457"/>
      <c r="BH66" s="1457"/>
      <c r="BI66" s="1456"/>
      <c r="BJ66" s="1456"/>
      <c r="BK66" s="1458"/>
      <c r="BL66" s="1458"/>
      <c r="BM66" s="1458"/>
      <c r="BN66" s="1458"/>
      <c r="BO66" s="1458"/>
      <c r="BP66" s="1458"/>
      <c r="BQ66" s="1458"/>
      <c r="BR66" s="1458"/>
      <c r="BS66" s="1459"/>
      <c r="BT66" s="1459"/>
      <c r="BU66" s="1459"/>
      <c r="BV66" s="1459"/>
      <c r="BW66" s="1459"/>
      <c r="BX66" s="1459"/>
      <c r="BY66" s="1459"/>
      <c r="BZ66" s="1459"/>
      <c r="CA66" s="824"/>
      <c r="CB66" s="823"/>
      <c r="CC66" s="823"/>
      <c r="CD66" s="823"/>
      <c r="CE66" s="823"/>
      <c r="CF66" s="823"/>
      <c r="CG66" s="823"/>
      <c r="CH66" s="823"/>
      <c r="CI66" s="823"/>
    </row>
    <row r="67" spans="1:87" ht="9.9499999999999993" customHeight="1">
      <c r="A67" s="1411"/>
      <c r="B67" s="1411"/>
      <c r="C67" s="1411"/>
      <c r="D67" s="1398"/>
      <c r="E67" s="1398"/>
      <c r="F67" s="1398"/>
      <c r="G67" s="1450"/>
      <c r="H67" s="1451"/>
      <c r="I67" s="1451"/>
      <c r="J67" s="1451"/>
      <c r="K67" s="1451"/>
      <c r="L67" s="1451"/>
      <c r="M67" s="1451"/>
      <c r="N67" s="1451"/>
      <c r="O67" s="1451"/>
      <c r="P67" s="1451"/>
      <c r="Q67" s="1451"/>
      <c r="R67" s="1451"/>
      <c r="S67" s="1451"/>
      <c r="T67" s="1451"/>
      <c r="U67" s="1451"/>
      <c r="V67" s="1452"/>
      <c r="W67" s="1067"/>
      <c r="X67" s="1067"/>
      <c r="Y67" s="1067"/>
      <c r="Z67" s="1067"/>
      <c r="AA67" s="1456"/>
      <c r="AB67" s="1456"/>
      <c r="AC67" s="1463"/>
      <c r="AD67" s="1464"/>
      <c r="AE67" s="1464"/>
      <c r="AF67" s="1464"/>
      <c r="AG67" s="1464"/>
      <c r="AH67" s="1464"/>
      <c r="AI67" s="1464"/>
      <c r="AJ67" s="1464"/>
      <c r="AK67" s="1464"/>
      <c r="AL67" s="1464"/>
      <c r="AM67" s="1464"/>
      <c r="AN67" s="1464"/>
      <c r="AO67" s="1464"/>
      <c r="AP67" s="1464"/>
      <c r="AQ67" s="1464"/>
      <c r="AR67" s="1465"/>
      <c r="AS67" s="1456"/>
      <c r="AT67" s="1456"/>
      <c r="AU67" s="1457"/>
      <c r="AV67" s="1457"/>
      <c r="AW67" s="1457"/>
      <c r="AX67" s="1457"/>
      <c r="AY67" s="1457"/>
      <c r="AZ67" s="1457"/>
      <c r="BA67" s="1457"/>
      <c r="BB67" s="1457"/>
      <c r="BC67" s="1457"/>
      <c r="BD67" s="1457"/>
      <c r="BE67" s="1457"/>
      <c r="BF67" s="1457"/>
      <c r="BG67" s="1457"/>
      <c r="BH67" s="1457"/>
      <c r="BI67" s="1456"/>
      <c r="BJ67" s="1456"/>
      <c r="BK67" s="1458"/>
      <c r="BL67" s="1458"/>
      <c r="BM67" s="1458"/>
      <c r="BN67" s="1458"/>
      <c r="BO67" s="1458"/>
      <c r="BP67" s="1458"/>
      <c r="BQ67" s="1458"/>
      <c r="BR67" s="1458"/>
      <c r="BS67" s="1459"/>
      <c r="BT67" s="1459"/>
      <c r="BU67" s="1459"/>
      <c r="BV67" s="1459"/>
      <c r="BW67" s="1459"/>
      <c r="BX67" s="1459"/>
      <c r="BY67" s="1459"/>
      <c r="BZ67" s="1459"/>
      <c r="CA67" s="824"/>
      <c r="CB67" s="823"/>
      <c r="CC67" s="823"/>
      <c r="CD67" s="823"/>
      <c r="CE67" s="823"/>
      <c r="CF67" s="823"/>
      <c r="CG67" s="823"/>
      <c r="CH67" s="823"/>
      <c r="CI67" s="823"/>
    </row>
    <row r="68" spans="1:87" ht="9.9499999999999993" customHeight="1">
      <c r="A68" s="1412">
        <f>AO55</f>
        <v>12</v>
      </c>
      <c r="B68" s="1412"/>
      <c r="C68" s="1412"/>
      <c r="D68" s="1398"/>
      <c r="E68" s="1398"/>
      <c r="F68" s="1398"/>
      <c r="G68" s="1450"/>
      <c r="H68" s="1451"/>
      <c r="I68" s="1451"/>
      <c r="J68" s="1451"/>
      <c r="K68" s="1451"/>
      <c r="L68" s="1451"/>
      <c r="M68" s="1451"/>
      <c r="N68" s="1451"/>
      <c r="O68" s="1451"/>
      <c r="P68" s="1451"/>
      <c r="Q68" s="1451"/>
      <c r="R68" s="1451"/>
      <c r="S68" s="1451"/>
      <c r="T68" s="1451"/>
      <c r="U68" s="1451"/>
      <c r="V68" s="1452"/>
      <c r="W68" s="1067"/>
      <c r="X68" s="1067"/>
      <c r="Y68" s="1067"/>
      <c r="Z68" s="1067"/>
      <c r="AA68" s="1456"/>
      <c r="AB68" s="1456"/>
      <c r="AC68" s="1463"/>
      <c r="AD68" s="1464"/>
      <c r="AE68" s="1464"/>
      <c r="AF68" s="1464"/>
      <c r="AG68" s="1464"/>
      <c r="AH68" s="1464"/>
      <c r="AI68" s="1464"/>
      <c r="AJ68" s="1464"/>
      <c r="AK68" s="1464"/>
      <c r="AL68" s="1464"/>
      <c r="AM68" s="1464"/>
      <c r="AN68" s="1464"/>
      <c r="AO68" s="1464"/>
      <c r="AP68" s="1464"/>
      <c r="AQ68" s="1464"/>
      <c r="AR68" s="1465"/>
      <c r="AS68" s="1456"/>
      <c r="AT68" s="1456"/>
      <c r="AU68" s="1457"/>
      <c r="AV68" s="1457"/>
      <c r="AW68" s="1457"/>
      <c r="AX68" s="1457"/>
      <c r="AY68" s="1457"/>
      <c r="AZ68" s="1457"/>
      <c r="BA68" s="1457"/>
      <c r="BB68" s="1457"/>
      <c r="BC68" s="1457"/>
      <c r="BD68" s="1457"/>
      <c r="BE68" s="1457"/>
      <c r="BF68" s="1457"/>
      <c r="BG68" s="1457"/>
      <c r="BH68" s="1457"/>
      <c r="BI68" s="1456"/>
      <c r="BJ68" s="1456"/>
      <c r="BK68" s="1458"/>
      <c r="BL68" s="1458"/>
      <c r="BM68" s="1458"/>
      <c r="BN68" s="1458"/>
      <c r="BO68" s="1458"/>
      <c r="BP68" s="1458"/>
      <c r="BQ68" s="1458"/>
      <c r="BR68" s="1458"/>
      <c r="BS68" s="1459"/>
      <c r="BT68" s="1459"/>
      <c r="BU68" s="1459"/>
      <c r="BV68" s="1459"/>
      <c r="BW68" s="1459"/>
      <c r="BX68" s="1459"/>
      <c r="BY68" s="1459"/>
      <c r="BZ68" s="1459"/>
      <c r="CA68" s="824"/>
      <c r="CB68" s="823"/>
      <c r="CC68" s="823"/>
      <c r="CD68" s="823"/>
      <c r="CE68" s="823"/>
      <c r="CF68" s="823"/>
      <c r="CG68" s="823"/>
      <c r="CH68" s="823"/>
      <c r="CI68" s="823"/>
    </row>
    <row r="69" spans="1:87" ht="9.9499999999999993" customHeight="1">
      <c r="A69" s="1413"/>
      <c r="B69" s="1413"/>
      <c r="C69" s="1413"/>
      <c r="D69" s="1398"/>
      <c r="E69" s="1398"/>
      <c r="F69" s="1398"/>
      <c r="G69" s="1450"/>
      <c r="H69" s="1451"/>
      <c r="I69" s="1451"/>
      <c r="J69" s="1451"/>
      <c r="K69" s="1451"/>
      <c r="L69" s="1451"/>
      <c r="M69" s="1451"/>
      <c r="N69" s="1451"/>
      <c r="O69" s="1451"/>
      <c r="P69" s="1451"/>
      <c r="Q69" s="1451"/>
      <c r="R69" s="1451"/>
      <c r="S69" s="1451"/>
      <c r="T69" s="1451"/>
      <c r="U69" s="1451"/>
      <c r="V69" s="1452"/>
      <c r="W69" s="1071"/>
      <c r="X69" s="1071"/>
      <c r="Y69" s="1071"/>
      <c r="Z69" s="1071"/>
      <c r="AA69" s="1456"/>
      <c r="AB69" s="1456"/>
      <c r="AC69" s="1463"/>
      <c r="AD69" s="1464"/>
      <c r="AE69" s="1464"/>
      <c r="AF69" s="1464"/>
      <c r="AG69" s="1464"/>
      <c r="AH69" s="1464"/>
      <c r="AI69" s="1464"/>
      <c r="AJ69" s="1464"/>
      <c r="AK69" s="1464"/>
      <c r="AL69" s="1464"/>
      <c r="AM69" s="1464"/>
      <c r="AN69" s="1464"/>
      <c r="AO69" s="1464"/>
      <c r="AP69" s="1464"/>
      <c r="AQ69" s="1464"/>
      <c r="AR69" s="1465"/>
      <c r="AS69" s="1456"/>
      <c r="AT69" s="1456"/>
      <c r="AU69" s="1457"/>
      <c r="AV69" s="1457"/>
      <c r="AW69" s="1457"/>
      <c r="AX69" s="1457"/>
      <c r="AY69" s="1457"/>
      <c r="AZ69" s="1457"/>
      <c r="BA69" s="1457"/>
      <c r="BB69" s="1457"/>
      <c r="BC69" s="1457"/>
      <c r="BD69" s="1457"/>
      <c r="BE69" s="1457"/>
      <c r="BF69" s="1457"/>
      <c r="BG69" s="1457"/>
      <c r="BH69" s="1457"/>
      <c r="BI69" s="1456"/>
      <c r="BJ69" s="1456"/>
      <c r="BK69" s="1458"/>
      <c r="BL69" s="1458"/>
      <c r="BM69" s="1458"/>
      <c r="BN69" s="1458"/>
      <c r="BO69" s="1458"/>
      <c r="BP69" s="1458"/>
      <c r="BQ69" s="1458"/>
      <c r="BR69" s="1458"/>
      <c r="BS69" s="1459"/>
      <c r="BT69" s="1459"/>
      <c r="BU69" s="1459"/>
      <c r="BV69" s="1459"/>
      <c r="BW69" s="1459"/>
      <c r="BX69" s="1459"/>
      <c r="BY69" s="1459"/>
      <c r="BZ69" s="1459"/>
      <c r="CA69" s="826"/>
      <c r="CB69" s="823"/>
      <c r="CC69" s="823"/>
      <c r="CD69" s="823"/>
      <c r="CE69" s="823"/>
      <c r="CF69" s="823"/>
      <c r="CG69" s="823"/>
      <c r="CH69" s="823"/>
      <c r="CI69" s="823"/>
    </row>
    <row r="70" spans="1:87" ht="9.9499999999999993" customHeight="1">
      <c r="A70" s="1414"/>
      <c r="B70" s="1414"/>
      <c r="C70" s="1414"/>
      <c r="D70" s="1398" t="s">
        <v>80</v>
      </c>
      <c r="E70" s="1398"/>
      <c r="F70" s="1398"/>
      <c r="G70" s="1450"/>
      <c r="H70" s="1451"/>
      <c r="I70" s="1451"/>
      <c r="J70" s="1451"/>
      <c r="K70" s="1451"/>
      <c r="L70" s="1451"/>
      <c r="M70" s="1451"/>
      <c r="N70" s="1451"/>
      <c r="O70" s="1451"/>
      <c r="P70" s="1451"/>
      <c r="Q70" s="1451"/>
      <c r="R70" s="1451"/>
      <c r="S70" s="1451"/>
      <c r="T70" s="1451"/>
      <c r="U70" s="1451"/>
      <c r="V70" s="1452"/>
      <c r="W70" s="1067"/>
      <c r="X70" s="1067"/>
      <c r="Y70" s="1067"/>
      <c r="Z70" s="1067"/>
      <c r="AA70" s="1456"/>
      <c r="AB70" s="1456"/>
      <c r="AC70" s="1463"/>
      <c r="AD70" s="1464"/>
      <c r="AE70" s="1464"/>
      <c r="AF70" s="1464"/>
      <c r="AG70" s="1464"/>
      <c r="AH70" s="1464"/>
      <c r="AI70" s="1464"/>
      <c r="AJ70" s="1464"/>
      <c r="AK70" s="1464"/>
      <c r="AL70" s="1464"/>
      <c r="AM70" s="1464"/>
      <c r="AN70" s="1464"/>
      <c r="AO70" s="1464"/>
      <c r="AP70" s="1464"/>
      <c r="AQ70" s="1464"/>
      <c r="AR70" s="1465"/>
      <c r="AS70" s="1456"/>
      <c r="AT70" s="1456"/>
      <c r="AU70" s="1457"/>
      <c r="AV70" s="1457"/>
      <c r="AW70" s="1457"/>
      <c r="AX70" s="1457"/>
      <c r="AY70" s="1457"/>
      <c r="AZ70" s="1457"/>
      <c r="BA70" s="1457"/>
      <c r="BB70" s="1457"/>
      <c r="BC70" s="1457"/>
      <c r="BD70" s="1457"/>
      <c r="BE70" s="1457"/>
      <c r="BF70" s="1457"/>
      <c r="BG70" s="1457"/>
      <c r="BH70" s="1457"/>
      <c r="BI70" s="1456"/>
      <c r="BJ70" s="1456"/>
      <c r="BK70" s="1458"/>
      <c r="BL70" s="1458"/>
      <c r="BM70" s="1458"/>
      <c r="BN70" s="1458"/>
      <c r="BO70" s="1458"/>
      <c r="BP70" s="1458"/>
      <c r="BQ70" s="1458"/>
      <c r="BR70" s="1458"/>
      <c r="BS70" s="1459"/>
      <c r="BT70" s="1459"/>
      <c r="BU70" s="1459"/>
      <c r="BV70" s="1459"/>
      <c r="BW70" s="1459"/>
      <c r="BX70" s="1459"/>
      <c r="BY70" s="1459"/>
      <c r="BZ70" s="1459"/>
      <c r="CA70" s="824"/>
      <c r="CB70" s="823"/>
      <c r="CC70" s="823"/>
      <c r="CD70" s="823"/>
      <c r="CE70" s="823"/>
      <c r="CF70" s="823"/>
      <c r="CG70" s="823"/>
      <c r="CH70" s="823"/>
      <c r="CI70" s="823"/>
    </row>
    <row r="71" spans="1:87" ht="9.9499999999999993" customHeight="1">
      <c r="A71" s="1405" t="s">
        <v>16</v>
      </c>
      <c r="B71" s="1405"/>
      <c r="C71" s="1405"/>
      <c r="D71" s="1398"/>
      <c r="E71" s="1398"/>
      <c r="F71" s="1398"/>
      <c r="G71" s="1450"/>
      <c r="H71" s="1451"/>
      <c r="I71" s="1451"/>
      <c r="J71" s="1451"/>
      <c r="K71" s="1451"/>
      <c r="L71" s="1451"/>
      <c r="M71" s="1451"/>
      <c r="N71" s="1451"/>
      <c r="O71" s="1451"/>
      <c r="P71" s="1451"/>
      <c r="Q71" s="1451"/>
      <c r="R71" s="1451"/>
      <c r="S71" s="1451"/>
      <c r="T71" s="1451"/>
      <c r="U71" s="1451"/>
      <c r="V71" s="1452"/>
      <c r="W71" s="1067"/>
      <c r="X71" s="1067"/>
      <c r="Y71" s="1067"/>
      <c r="Z71" s="1067"/>
      <c r="AA71" s="1456"/>
      <c r="AB71" s="1456"/>
      <c r="AC71" s="1463"/>
      <c r="AD71" s="1464"/>
      <c r="AE71" s="1464"/>
      <c r="AF71" s="1464"/>
      <c r="AG71" s="1464"/>
      <c r="AH71" s="1464"/>
      <c r="AI71" s="1464"/>
      <c r="AJ71" s="1464"/>
      <c r="AK71" s="1464"/>
      <c r="AL71" s="1464"/>
      <c r="AM71" s="1464"/>
      <c r="AN71" s="1464"/>
      <c r="AO71" s="1464"/>
      <c r="AP71" s="1464"/>
      <c r="AQ71" s="1464"/>
      <c r="AR71" s="1465"/>
      <c r="AS71" s="1456"/>
      <c r="AT71" s="1456"/>
      <c r="AU71" s="1457"/>
      <c r="AV71" s="1457"/>
      <c r="AW71" s="1457"/>
      <c r="AX71" s="1457"/>
      <c r="AY71" s="1457"/>
      <c r="AZ71" s="1457"/>
      <c r="BA71" s="1457"/>
      <c r="BB71" s="1457"/>
      <c r="BC71" s="1457"/>
      <c r="BD71" s="1457"/>
      <c r="BE71" s="1457"/>
      <c r="BF71" s="1457"/>
      <c r="BG71" s="1457"/>
      <c r="BH71" s="1457"/>
      <c r="BI71" s="1456"/>
      <c r="BJ71" s="1456"/>
      <c r="BK71" s="1458"/>
      <c r="BL71" s="1458"/>
      <c r="BM71" s="1458"/>
      <c r="BN71" s="1458"/>
      <c r="BO71" s="1458"/>
      <c r="BP71" s="1458"/>
      <c r="BQ71" s="1458"/>
      <c r="BR71" s="1458"/>
      <c r="BS71" s="1459"/>
      <c r="BT71" s="1459"/>
      <c r="BU71" s="1459"/>
      <c r="BV71" s="1459"/>
      <c r="BW71" s="1459"/>
      <c r="BX71" s="1459"/>
      <c r="BY71" s="1459"/>
      <c r="BZ71" s="1459"/>
      <c r="CA71" s="824"/>
      <c r="CB71" s="823"/>
      <c r="CC71" s="823"/>
      <c r="CD71" s="823"/>
      <c r="CE71" s="823"/>
      <c r="CF71" s="823"/>
      <c r="CG71" s="823"/>
      <c r="CH71" s="823"/>
      <c r="CI71" s="823"/>
    </row>
    <row r="72" spans="1:87" ht="9.9499999999999993" customHeight="1">
      <c r="A72" s="1406"/>
      <c r="B72" s="1406"/>
      <c r="C72" s="1406"/>
      <c r="D72" s="1398"/>
      <c r="E72" s="1398"/>
      <c r="F72" s="1398"/>
      <c r="G72" s="1450"/>
      <c r="H72" s="1451"/>
      <c r="I72" s="1451"/>
      <c r="J72" s="1451"/>
      <c r="K72" s="1451"/>
      <c r="L72" s="1451"/>
      <c r="M72" s="1451"/>
      <c r="N72" s="1451"/>
      <c r="O72" s="1451"/>
      <c r="P72" s="1451"/>
      <c r="Q72" s="1451"/>
      <c r="R72" s="1451"/>
      <c r="S72" s="1451"/>
      <c r="T72" s="1451"/>
      <c r="U72" s="1451"/>
      <c r="V72" s="1452"/>
      <c r="W72" s="1067"/>
      <c r="X72" s="1067"/>
      <c r="Y72" s="1067"/>
      <c r="Z72" s="1067"/>
      <c r="AA72" s="1456"/>
      <c r="AB72" s="1456"/>
      <c r="AC72" s="1463"/>
      <c r="AD72" s="1464"/>
      <c r="AE72" s="1464"/>
      <c r="AF72" s="1464"/>
      <c r="AG72" s="1464"/>
      <c r="AH72" s="1464"/>
      <c r="AI72" s="1464"/>
      <c r="AJ72" s="1464"/>
      <c r="AK72" s="1464"/>
      <c r="AL72" s="1464"/>
      <c r="AM72" s="1464"/>
      <c r="AN72" s="1464"/>
      <c r="AO72" s="1464"/>
      <c r="AP72" s="1464"/>
      <c r="AQ72" s="1464"/>
      <c r="AR72" s="1465"/>
      <c r="AS72" s="1456"/>
      <c r="AT72" s="1456"/>
      <c r="AU72" s="1457"/>
      <c r="AV72" s="1457"/>
      <c r="AW72" s="1457"/>
      <c r="AX72" s="1457"/>
      <c r="AY72" s="1457"/>
      <c r="AZ72" s="1457"/>
      <c r="BA72" s="1457"/>
      <c r="BB72" s="1457"/>
      <c r="BC72" s="1457"/>
      <c r="BD72" s="1457"/>
      <c r="BE72" s="1457"/>
      <c r="BF72" s="1457"/>
      <c r="BG72" s="1457"/>
      <c r="BH72" s="1457"/>
      <c r="BI72" s="1456"/>
      <c r="BJ72" s="1456"/>
      <c r="BK72" s="1458"/>
      <c r="BL72" s="1458"/>
      <c r="BM72" s="1458"/>
      <c r="BN72" s="1458"/>
      <c r="BO72" s="1458"/>
      <c r="BP72" s="1458"/>
      <c r="BQ72" s="1458"/>
      <c r="BR72" s="1458"/>
      <c r="BS72" s="1459"/>
      <c r="BT72" s="1459"/>
      <c r="BU72" s="1459"/>
      <c r="BV72" s="1459"/>
      <c r="BW72" s="1459"/>
      <c r="BX72" s="1459"/>
      <c r="BY72" s="1459"/>
      <c r="BZ72" s="1459"/>
      <c r="CA72" s="825"/>
      <c r="CB72" s="823"/>
      <c r="CC72" s="823"/>
      <c r="CD72" s="823"/>
      <c r="CE72" s="823"/>
      <c r="CF72" s="823"/>
      <c r="CG72" s="823"/>
      <c r="CH72" s="823"/>
      <c r="CI72" s="823"/>
    </row>
    <row r="73" spans="1:87" ht="9.9499999999999993" customHeight="1">
      <c r="A73" s="1407"/>
      <c r="B73" s="1407"/>
      <c r="C73" s="1407"/>
      <c r="D73" s="1398"/>
      <c r="E73" s="1398"/>
      <c r="F73" s="1398"/>
      <c r="G73" s="1450"/>
      <c r="H73" s="1451"/>
      <c r="I73" s="1451"/>
      <c r="J73" s="1451"/>
      <c r="K73" s="1451"/>
      <c r="L73" s="1451"/>
      <c r="M73" s="1451"/>
      <c r="N73" s="1451"/>
      <c r="O73" s="1451"/>
      <c r="P73" s="1451"/>
      <c r="Q73" s="1451"/>
      <c r="R73" s="1451"/>
      <c r="S73" s="1451"/>
      <c r="T73" s="1451"/>
      <c r="U73" s="1451"/>
      <c r="V73" s="1452"/>
      <c r="W73" s="1067"/>
      <c r="X73" s="1067"/>
      <c r="Y73" s="1067"/>
      <c r="Z73" s="1067"/>
      <c r="AA73" s="1456"/>
      <c r="AB73" s="1456"/>
      <c r="AC73" s="1463"/>
      <c r="AD73" s="1464"/>
      <c r="AE73" s="1464"/>
      <c r="AF73" s="1464"/>
      <c r="AG73" s="1464"/>
      <c r="AH73" s="1464"/>
      <c r="AI73" s="1464"/>
      <c r="AJ73" s="1464"/>
      <c r="AK73" s="1464"/>
      <c r="AL73" s="1464"/>
      <c r="AM73" s="1464"/>
      <c r="AN73" s="1464"/>
      <c r="AO73" s="1464"/>
      <c r="AP73" s="1464"/>
      <c r="AQ73" s="1464"/>
      <c r="AR73" s="1465"/>
      <c r="AS73" s="1456"/>
      <c r="AT73" s="1456"/>
      <c r="AU73" s="1457"/>
      <c r="AV73" s="1457"/>
      <c r="AW73" s="1457"/>
      <c r="AX73" s="1457"/>
      <c r="AY73" s="1457"/>
      <c r="AZ73" s="1457"/>
      <c r="BA73" s="1457"/>
      <c r="BB73" s="1457"/>
      <c r="BC73" s="1457"/>
      <c r="BD73" s="1457"/>
      <c r="BE73" s="1457"/>
      <c r="BF73" s="1457"/>
      <c r="BG73" s="1457"/>
      <c r="BH73" s="1457"/>
      <c r="BI73" s="1456"/>
      <c r="BJ73" s="1456"/>
      <c r="BK73" s="1458"/>
      <c r="BL73" s="1458"/>
      <c r="BM73" s="1458"/>
      <c r="BN73" s="1458"/>
      <c r="BO73" s="1458"/>
      <c r="BP73" s="1458"/>
      <c r="BQ73" s="1458"/>
      <c r="BR73" s="1458"/>
      <c r="BS73" s="1459"/>
      <c r="BT73" s="1459"/>
      <c r="BU73" s="1459"/>
      <c r="BV73" s="1459"/>
      <c r="BW73" s="1459"/>
      <c r="BX73" s="1459"/>
      <c r="BY73" s="1459"/>
      <c r="BZ73" s="1459"/>
      <c r="CA73" s="825"/>
      <c r="CB73" s="823"/>
      <c r="CC73" s="823"/>
      <c r="CD73" s="823"/>
      <c r="CE73" s="823"/>
      <c r="CF73" s="823"/>
      <c r="CG73" s="823"/>
      <c r="CH73" s="823"/>
      <c r="CI73" s="823"/>
    </row>
    <row r="74" spans="1:87" ht="9.9499999999999993" customHeight="1">
      <c r="A74" s="1415" t="s">
        <v>43</v>
      </c>
      <c r="B74" s="1415"/>
      <c r="C74" s="1415"/>
      <c r="D74" s="1398"/>
      <c r="E74" s="1398"/>
      <c r="F74" s="1398"/>
      <c r="G74" s="1450"/>
      <c r="H74" s="1451"/>
      <c r="I74" s="1451"/>
      <c r="J74" s="1451"/>
      <c r="K74" s="1451"/>
      <c r="L74" s="1451"/>
      <c r="M74" s="1451"/>
      <c r="N74" s="1451"/>
      <c r="O74" s="1451"/>
      <c r="P74" s="1451"/>
      <c r="Q74" s="1451"/>
      <c r="R74" s="1451"/>
      <c r="S74" s="1451"/>
      <c r="T74" s="1451"/>
      <c r="U74" s="1451"/>
      <c r="V74" s="1452"/>
      <c r="W74" s="1067"/>
      <c r="X74" s="1067"/>
      <c r="Y74" s="1067"/>
      <c r="Z74" s="1067"/>
      <c r="AA74" s="1456"/>
      <c r="AB74" s="1456"/>
      <c r="AC74" s="1463"/>
      <c r="AD74" s="1464"/>
      <c r="AE74" s="1464"/>
      <c r="AF74" s="1464"/>
      <c r="AG74" s="1464"/>
      <c r="AH74" s="1464"/>
      <c r="AI74" s="1464"/>
      <c r="AJ74" s="1464"/>
      <c r="AK74" s="1464"/>
      <c r="AL74" s="1464"/>
      <c r="AM74" s="1464"/>
      <c r="AN74" s="1464"/>
      <c r="AO74" s="1464"/>
      <c r="AP74" s="1464"/>
      <c r="AQ74" s="1464"/>
      <c r="AR74" s="1465"/>
      <c r="AS74" s="1456"/>
      <c r="AT74" s="1456"/>
      <c r="AU74" s="1457"/>
      <c r="AV74" s="1457"/>
      <c r="AW74" s="1457"/>
      <c r="AX74" s="1457"/>
      <c r="AY74" s="1457"/>
      <c r="AZ74" s="1457"/>
      <c r="BA74" s="1457"/>
      <c r="BB74" s="1457"/>
      <c r="BC74" s="1457"/>
      <c r="BD74" s="1457"/>
      <c r="BE74" s="1457"/>
      <c r="BF74" s="1457"/>
      <c r="BG74" s="1457"/>
      <c r="BH74" s="1457"/>
      <c r="BI74" s="1456"/>
      <c r="BJ74" s="1456"/>
      <c r="BK74" s="1458"/>
      <c r="BL74" s="1458"/>
      <c r="BM74" s="1458"/>
      <c r="BN74" s="1458"/>
      <c r="BO74" s="1458"/>
      <c r="BP74" s="1458"/>
      <c r="BQ74" s="1458"/>
      <c r="BR74" s="1458"/>
      <c r="BS74" s="1459"/>
      <c r="BT74" s="1459"/>
      <c r="BU74" s="1459"/>
      <c r="BV74" s="1459"/>
      <c r="BW74" s="1459"/>
      <c r="BX74" s="1459"/>
      <c r="BY74" s="1459"/>
      <c r="BZ74" s="1459"/>
      <c r="CA74" s="824"/>
      <c r="CB74" s="823"/>
      <c r="CC74" s="823"/>
      <c r="CD74" s="823"/>
      <c r="CE74" s="823"/>
      <c r="CF74" s="823"/>
      <c r="CG74" s="823"/>
      <c r="CH74" s="823"/>
      <c r="CI74" s="823"/>
    </row>
    <row r="75" spans="1:87" ht="9.9499999999999993" customHeight="1">
      <c r="A75" s="1444" t="str">
        <f>AU55</f>
        <v>月</v>
      </c>
      <c r="B75" s="1444"/>
      <c r="C75" s="1444"/>
      <c r="D75" s="1398"/>
      <c r="E75" s="1398"/>
      <c r="F75" s="1398"/>
      <c r="G75" s="1450"/>
      <c r="H75" s="1451"/>
      <c r="I75" s="1451"/>
      <c r="J75" s="1451"/>
      <c r="K75" s="1451"/>
      <c r="L75" s="1451"/>
      <c r="M75" s="1451"/>
      <c r="N75" s="1451"/>
      <c r="O75" s="1451"/>
      <c r="P75" s="1451"/>
      <c r="Q75" s="1451"/>
      <c r="R75" s="1451"/>
      <c r="S75" s="1451"/>
      <c r="T75" s="1451"/>
      <c r="U75" s="1451"/>
      <c r="V75" s="1452"/>
      <c r="W75" s="1067"/>
      <c r="X75" s="1067"/>
      <c r="Y75" s="1067"/>
      <c r="Z75" s="1067"/>
      <c r="AA75" s="1456"/>
      <c r="AB75" s="1456"/>
      <c r="AC75" s="1463"/>
      <c r="AD75" s="1464"/>
      <c r="AE75" s="1464"/>
      <c r="AF75" s="1464"/>
      <c r="AG75" s="1464"/>
      <c r="AH75" s="1464"/>
      <c r="AI75" s="1464"/>
      <c r="AJ75" s="1464"/>
      <c r="AK75" s="1464"/>
      <c r="AL75" s="1464"/>
      <c r="AM75" s="1464"/>
      <c r="AN75" s="1464"/>
      <c r="AO75" s="1464"/>
      <c r="AP75" s="1464"/>
      <c r="AQ75" s="1464"/>
      <c r="AR75" s="1465"/>
      <c r="AS75" s="1456"/>
      <c r="AT75" s="1456"/>
      <c r="AU75" s="1457"/>
      <c r="AV75" s="1457"/>
      <c r="AW75" s="1457"/>
      <c r="AX75" s="1457"/>
      <c r="AY75" s="1457"/>
      <c r="AZ75" s="1457"/>
      <c r="BA75" s="1457"/>
      <c r="BB75" s="1457"/>
      <c r="BC75" s="1457"/>
      <c r="BD75" s="1457"/>
      <c r="BE75" s="1457"/>
      <c r="BF75" s="1457"/>
      <c r="BG75" s="1457"/>
      <c r="BH75" s="1457"/>
      <c r="BI75" s="1456"/>
      <c r="BJ75" s="1456"/>
      <c r="BK75" s="1458"/>
      <c r="BL75" s="1458"/>
      <c r="BM75" s="1458"/>
      <c r="BN75" s="1458"/>
      <c r="BO75" s="1458"/>
      <c r="BP75" s="1458"/>
      <c r="BQ75" s="1458"/>
      <c r="BR75" s="1458"/>
      <c r="BS75" s="1459"/>
      <c r="BT75" s="1459"/>
      <c r="BU75" s="1459"/>
      <c r="BV75" s="1459"/>
      <c r="BW75" s="1459"/>
      <c r="BX75" s="1459"/>
      <c r="BY75" s="1459"/>
      <c r="BZ75" s="1459"/>
      <c r="CA75" s="824"/>
      <c r="CB75" s="823"/>
      <c r="CC75" s="823"/>
      <c r="CD75" s="823"/>
      <c r="CE75" s="823"/>
      <c r="CF75" s="823"/>
      <c r="CG75" s="823"/>
      <c r="CH75" s="823"/>
      <c r="CI75" s="823"/>
    </row>
    <row r="76" spans="1:87" ht="9.9499999999999993" customHeight="1">
      <c r="A76" s="1445"/>
      <c r="B76" s="1445"/>
      <c r="C76" s="1445"/>
      <c r="D76" s="1398"/>
      <c r="E76" s="1398"/>
      <c r="F76" s="1398"/>
      <c r="G76" s="1450"/>
      <c r="H76" s="1451"/>
      <c r="I76" s="1451"/>
      <c r="J76" s="1451"/>
      <c r="K76" s="1451"/>
      <c r="L76" s="1451"/>
      <c r="M76" s="1451"/>
      <c r="N76" s="1451"/>
      <c r="O76" s="1451"/>
      <c r="P76" s="1451"/>
      <c r="Q76" s="1451"/>
      <c r="R76" s="1451"/>
      <c r="S76" s="1451"/>
      <c r="T76" s="1451"/>
      <c r="U76" s="1451"/>
      <c r="V76" s="1452"/>
      <c r="W76" s="1067"/>
      <c r="X76" s="1067"/>
      <c r="Y76" s="1067"/>
      <c r="Z76" s="1067"/>
      <c r="AA76" s="1456"/>
      <c r="AB76" s="1456"/>
      <c r="AC76" s="1463"/>
      <c r="AD76" s="1464"/>
      <c r="AE76" s="1464"/>
      <c r="AF76" s="1464"/>
      <c r="AG76" s="1464"/>
      <c r="AH76" s="1464"/>
      <c r="AI76" s="1464"/>
      <c r="AJ76" s="1464"/>
      <c r="AK76" s="1464"/>
      <c r="AL76" s="1464"/>
      <c r="AM76" s="1464"/>
      <c r="AN76" s="1464"/>
      <c r="AO76" s="1464"/>
      <c r="AP76" s="1464"/>
      <c r="AQ76" s="1464"/>
      <c r="AR76" s="1465"/>
      <c r="AS76" s="1456"/>
      <c r="AT76" s="1456"/>
      <c r="AU76" s="1457"/>
      <c r="AV76" s="1457"/>
      <c r="AW76" s="1457"/>
      <c r="AX76" s="1457"/>
      <c r="AY76" s="1457"/>
      <c r="AZ76" s="1457"/>
      <c r="BA76" s="1457"/>
      <c r="BB76" s="1457"/>
      <c r="BC76" s="1457"/>
      <c r="BD76" s="1457"/>
      <c r="BE76" s="1457"/>
      <c r="BF76" s="1457"/>
      <c r="BG76" s="1457"/>
      <c r="BH76" s="1457"/>
      <c r="BI76" s="1456"/>
      <c r="BJ76" s="1456"/>
      <c r="BK76" s="1458"/>
      <c r="BL76" s="1458"/>
      <c r="BM76" s="1458"/>
      <c r="BN76" s="1458"/>
      <c r="BO76" s="1458"/>
      <c r="BP76" s="1458"/>
      <c r="BQ76" s="1458"/>
      <c r="BR76" s="1458"/>
      <c r="BS76" s="1459"/>
      <c r="BT76" s="1459"/>
      <c r="BU76" s="1459"/>
      <c r="BV76" s="1459"/>
      <c r="BW76" s="1459"/>
      <c r="BX76" s="1459"/>
      <c r="BY76" s="1459"/>
      <c r="BZ76" s="1459"/>
      <c r="CA76" s="824"/>
      <c r="CB76" s="823"/>
      <c r="CC76" s="823"/>
      <c r="CD76" s="823"/>
      <c r="CE76" s="823"/>
      <c r="CF76" s="823"/>
      <c r="CG76" s="823"/>
      <c r="CH76" s="823"/>
      <c r="CI76" s="823"/>
    </row>
    <row r="77" spans="1:87" ht="9.9499999999999993" customHeight="1">
      <c r="A77" s="1391" t="s">
        <v>42</v>
      </c>
      <c r="B77" s="1392"/>
      <c r="C77" s="1393"/>
      <c r="D77" s="1398"/>
      <c r="E77" s="1398"/>
      <c r="F77" s="1398"/>
      <c r="G77" s="1453"/>
      <c r="H77" s="1454"/>
      <c r="I77" s="1454"/>
      <c r="J77" s="1454"/>
      <c r="K77" s="1454"/>
      <c r="L77" s="1454"/>
      <c r="M77" s="1454"/>
      <c r="N77" s="1454"/>
      <c r="O77" s="1454"/>
      <c r="P77" s="1454"/>
      <c r="Q77" s="1454"/>
      <c r="R77" s="1454"/>
      <c r="S77" s="1454"/>
      <c r="T77" s="1454"/>
      <c r="U77" s="1454"/>
      <c r="V77" s="1455"/>
      <c r="W77" s="1071"/>
      <c r="X77" s="1071"/>
      <c r="Y77" s="1071"/>
      <c r="Z77" s="1071"/>
      <c r="AA77" s="1456"/>
      <c r="AB77" s="1456"/>
      <c r="AC77" s="1466"/>
      <c r="AD77" s="1467"/>
      <c r="AE77" s="1467"/>
      <c r="AF77" s="1467"/>
      <c r="AG77" s="1467"/>
      <c r="AH77" s="1467"/>
      <c r="AI77" s="1467"/>
      <c r="AJ77" s="1467"/>
      <c r="AK77" s="1467"/>
      <c r="AL77" s="1467"/>
      <c r="AM77" s="1467"/>
      <c r="AN77" s="1467"/>
      <c r="AO77" s="1467"/>
      <c r="AP77" s="1467"/>
      <c r="AQ77" s="1467"/>
      <c r="AR77" s="1468"/>
      <c r="AS77" s="1456"/>
      <c r="AT77" s="1456"/>
      <c r="AU77" s="1457"/>
      <c r="AV77" s="1457"/>
      <c r="AW77" s="1457"/>
      <c r="AX77" s="1457"/>
      <c r="AY77" s="1457"/>
      <c r="AZ77" s="1457"/>
      <c r="BA77" s="1457"/>
      <c r="BB77" s="1457"/>
      <c r="BC77" s="1457"/>
      <c r="BD77" s="1457"/>
      <c r="BE77" s="1457"/>
      <c r="BF77" s="1457"/>
      <c r="BG77" s="1457"/>
      <c r="BH77" s="1457"/>
      <c r="BI77" s="1456"/>
      <c r="BJ77" s="1456"/>
      <c r="BK77" s="1458"/>
      <c r="BL77" s="1458"/>
      <c r="BM77" s="1458"/>
      <c r="BN77" s="1458"/>
      <c r="BO77" s="1458"/>
      <c r="BP77" s="1458"/>
      <c r="BQ77" s="1458"/>
      <c r="BR77" s="1458"/>
      <c r="BS77" s="1459"/>
      <c r="BT77" s="1459"/>
      <c r="BU77" s="1459"/>
      <c r="BV77" s="1459"/>
      <c r="BW77" s="1459"/>
      <c r="BX77" s="1459"/>
      <c r="BY77" s="1459"/>
      <c r="BZ77" s="1459"/>
      <c r="CA77" s="826"/>
      <c r="CB77" s="823"/>
      <c r="CC77" s="823"/>
      <c r="CD77" s="823"/>
      <c r="CE77" s="823"/>
      <c r="CF77" s="823"/>
      <c r="CG77" s="823"/>
      <c r="CH77" s="823"/>
      <c r="CI77" s="823"/>
    </row>
    <row r="78" spans="1:87" ht="9.9499999999999993" customHeight="1">
      <c r="A78" s="1394">
        <f>BA55</f>
        <v>10</v>
      </c>
      <c r="B78" s="1395"/>
      <c r="C78" s="1396"/>
      <c r="D78" s="1397" t="s">
        <v>81</v>
      </c>
      <c r="E78" s="1397"/>
      <c r="F78" s="1397"/>
      <c r="G78" s="827"/>
      <c r="H78" s="1070"/>
      <c r="I78" s="1070"/>
      <c r="J78" s="1061"/>
      <c r="K78" s="1458" t="s">
        <v>3095</v>
      </c>
      <c r="L78" s="1458"/>
      <c r="M78" s="1458"/>
      <c r="N78" s="1458"/>
      <c r="O78" s="1456" t="s">
        <v>3096</v>
      </c>
      <c r="P78" s="1456"/>
      <c r="Q78" s="1456"/>
      <c r="R78" s="1457" t="s">
        <v>3097</v>
      </c>
      <c r="S78" s="1459"/>
      <c r="T78" s="1459"/>
      <c r="U78" s="1459"/>
      <c r="V78" s="1456" t="s">
        <v>3098</v>
      </c>
      <c r="W78" s="1456"/>
      <c r="X78" s="1456" t="s">
        <v>45</v>
      </c>
      <c r="Y78" s="1064"/>
      <c r="Z78" s="1068"/>
      <c r="AA78" s="1079"/>
      <c r="AB78" s="1061"/>
      <c r="AC78" s="1061"/>
      <c r="AD78" s="1069"/>
      <c r="AE78" s="1061"/>
      <c r="AF78" s="1061"/>
      <c r="AG78" s="1061"/>
      <c r="AH78" s="1069"/>
      <c r="AI78" s="1064"/>
      <c r="AJ78" s="1064"/>
      <c r="AK78" s="1061"/>
      <c r="AL78" s="1069"/>
      <c r="AM78" s="1061"/>
      <c r="AN78" s="1061"/>
      <c r="AO78" s="1061"/>
      <c r="AP78" s="1069"/>
      <c r="AQ78" s="1061"/>
      <c r="AR78" s="1061"/>
      <c r="AS78" s="1061"/>
      <c r="AT78" s="1069"/>
      <c r="AU78" s="1061"/>
      <c r="AV78" s="1061"/>
      <c r="AW78" s="1061"/>
      <c r="AX78" s="1069"/>
      <c r="AY78" s="1061"/>
      <c r="AZ78" s="1061"/>
      <c r="BA78" s="1061"/>
      <c r="BB78" s="1069"/>
      <c r="BC78" s="1061"/>
      <c r="BD78" s="1061"/>
      <c r="BE78" s="1061"/>
      <c r="BF78" s="1069"/>
      <c r="BG78" s="1061"/>
      <c r="BH78" s="1061"/>
      <c r="BI78" s="1061"/>
      <c r="BJ78" s="1069"/>
      <c r="BK78" s="1061"/>
      <c r="BL78" s="1061"/>
      <c r="BM78" s="1061"/>
      <c r="BN78" s="1069"/>
      <c r="BO78" s="1061"/>
      <c r="BP78" s="1061"/>
      <c r="BQ78" s="1061"/>
      <c r="BR78" s="1069"/>
      <c r="BS78" s="1061"/>
      <c r="BT78" s="1061"/>
      <c r="BU78" s="1061"/>
      <c r="BV78" s="1069"/>
      <c r="BW78" s="1061"/>
      <c r="BX78" s="1061"/>
      <c r="BY78" s="1061"/>
      <c r="BZ78" s="1066"/>
      <c r="CA78" s="824"/>
      <c r="CB78" s="823"/>
      <c r="CC78" s="823"/>
      <c r="CD78" s="823"/>
      <c r="CE78" s="823"/>
      <c r="CF78" s="823"/>
      <c r="CG78" s="823"/>
      <c r="CH78" s="823"/>
      <c r="CI78" s="823"/>
    </row>
    <row r="79" spans="1:87" ht="9.9499999999999993" customHeight="1">
      <c r="A79" s="1394"/>
      <c r="B79" s="1395"/>
      <c r="C79" s="1396"/>
      <c r="D79" s="1398"/>
      <c r="E79" s="1398"/>
      <c r="F79" s="1398"/>
      <c r="G79" s="827"/>
      <c r="H79" s="1070"/>
      <c r="I79" s="1070"/>
      <c r="J79" s="1061"/>
      <c r="K79" s="1458"/>
      <c r="L79" s="1458"/>
      <c r="M79" s="1458"/>
      <c r="N79" s="1458"/>
      <c r="O79" s="1456"/>
      <c r="P79" s="1456"/>
      <c r="Q79" s="1456"/>
      <c r="R79" s="1459"/>
      <c r="S79" s="1459"/>
      <c r="T79" s="1459"/>
      <c r="U79" s="1459"/>
      <c r="V79" s="1456"/>
      <c r="W79" s="1456"/>
      <c r="X79" s="1456"/>
      <c r="Y79" s="1064"/>
      <c r="Z79" s="1068"/>
      <c r="AA79" s="1061"/>
      <c r="AB79" s="1061"/>
      <c r="AC79" s="1061"/>
      <c r="AD79" s="1069"/>
      <c r="AE79" s="1061"/>
      <c r="AF79" s="1061"/>
      <c r="AG79" s="1061"/>
      <c r="AH79" s="1069"/>
      <c r="AI79" s="1064"/>
      <c r="AJ79" s="1064"/>
      <c r="AK79" s="1061"/>
      <c r="AL79" s="1069"/>
      <c r="AM79" s="1061"/>
      <c r="AN79" s="1061"/>
      <c r="AO79" s="1061"/>
      <c r="AP79" s="1069"/>
      <c r="AQ79" s="1061"/>
      <c r="AR79" s="1061"/>
      <c r="AS79" s="1061"/>
      <c r="AT79" s="1069"/>
      <c r="AU79" s="1061"/>
      <c r="AV79" s="1061"/>
      <c r="AW79" s="1061"/>
      <c r="AX79" s="1069"/>
      <c r="AY79" s="1061"/>
      <c r="AZ79" s="1061"/>
      <c r="BA79" s="1061"/>
      <c r="BB79" s="1069"/>
      <c r="BC79" s="1061"/>
      <c r="BD79" s="1061"/>
      <c r="BE79" s="1061"/>
      <c r="BF79" s="1069"/>
      <c r="BG79" s="1061"/>
      <c r="BH79" s="1061"/>
      <c r="BI79" s="1061"/>
      <c r="BJ79" s="1069"/>
      <c r="BK79" s="1061"/>
      <c r="BL79" s="1061"/>
      <c r="BM79" s="1061"/>
      <c r="BN79" s="1069"/>
      <c r="BO79" s="1061"/>
      <c r="BP79" s="1061"/>
      <c r="BQ79" s="1061"/>
      <c r="BR79" s="1069"/>
      <c r="BS79" s="1061"/>
      <c r="BT79" s="1061"/>
      <c r="BU79" s="1061"/>
      <c r="BV79" s="1069"/>
      <c r="BW79" s="1064"/>
      <c r="BX79" s="1064"/>
      <c r="BY79" s="1064"/>
      <c r="BZ79" s="1066"/>
      <c r="CA79" s="824"/>
      <c r="CB79" s="823"/>
      <c r="CC79" s="823"/>
      <c r="CD79" s="823"/>
      <c r="CE79" s="823"/>
      <c r="CF79" s="823"/>
      <c r="CG79" s="823"/>
      <c r="CH79" s="823"/>
      <c r="CI79" s="823"/>
    </row>
    <row r="80" spans="1:87" ht="9.9499999999999993" customHeight="1">
      <c r="A80" s="1394"/>
      <c r="B80" s="1395"/>
      <c r="C80" s="1396"/>
      <c r="D80" s="1398"/>
      <c r="E80" s="1398"/>
      <c r="F80" s="1398"/>
      <c r="G80" s="827"/>
      <c r="H80" s="1070"/>
      <c r="I80" s="1070"/>
      <c r="J80" s="1061"/>
      <c r="K80" s="1458"/>
      <c r="L80" s="1458"/>
      <c r="M80" s="1458"/>
      <c r="N80" s="1458"/>
      <c r="O80" s="1456"/>
      <c r="P80" s="1456"/>
      <c r="Q80" s="1456"/>
      <c r="R80" s="1459"/>
      <c r="S80" s="1459"/>
      <c r="T80" s="1459"/>
      <c r="U80" s="1459"/>
      <c r="V80" s="1456"/>
      <c r="W80" s="1456"/>
      <c r="X80" s="1456"/>
      <c r="Y80" s="1064"/>
      <c r="Z80" s="1068"/>
      <c r="AA80" s="1061"/>
      <c r="AB80" s="1061"/>
      <c r="AC80" s="1061"/>
      <c r="AD80" s="1069"/>
      <c r="AE80" s="1061"/>
      <c r="AF80" s="1061"/>
      <c r="AG80" s="1061"/>
      <c r="AH80" s="1069"/>
      <c r="AI80" s="1064"/>
      <c r="AJ80" s="1064"/>
      <c r="AK80" s="1061"/>
      <c r="AL80" s="1069"/>
      <c r="AM80" s="1061"/>
      <c r="AN80" s="1061"/>
      <c r="AO80" s="1061"/>
      <c r="AP80" s="1069"/>
      <c r="AQ80" s="1061"/>
      <c r="AR80" s="1061"/>
      <c r="AS80" s="1061"/>
      <c r="AT80" s="1069"/>
      <c r="AU80" s="1061"/>
      <c r="AV80" s="1061"/>
      <c r="AW80" s="1061"/>
      <c r="AX80" s="1069"/>
      <c r="AY80" s="1061"/>
      <c r="AZ80" s="1061"/>
      <c r="BA80" s="1061"/>
      <c r="BB80" s="1069"/>
      <c r="BC80" s="1061"/>
      <c r="BD80" s="1061"/>
      <c r="BE80" s="1061"/>
      <c r="BF80" s="1069"/>
      <c r="BG80" s="1061"/>
      <c r="BH80" s="1061"/>
      <c r="BI80" s="1061"/>
      <c r="BJ80" s="1069"/>
      <c r="BK80" s="1061"/>
      <c r="BL80" s="1061"/>
      <c r="BM80" s="1061"/>
      <c r="BN80" s="1069"/>
      <c r="BO80" s="1061"/>
      <c r="BP80" s="1061"/>
      <c r="BQ80" s="1061"/>
      <c r="BR80" s="1069"/>
      <c r="BS80" s="1061"/>
      <c r="BT80" s="1061"/>
      <c r="BU80" s="1061"/>
      <c r="BV80" s="1069"/>
      <c r="BW80" s="1064"/>
      <c r="BX80" s="1064"/>
      <c r="BY80" s="1064"/>
      <c r="BZ80" s="1066"/>
      <c r="CA80" s="825"/>
      <c r="CB80" s="823"/>
      <c r="CC80" s="823"/>
      <c r="CD80" s="823"/>
      <c r="CE80" s="823"/>
      <c r="CF80" s="823"/>
      <c r="CG80" s="823"/>
      <c r="CH80" s="823"/>
      <c r="CI80" s="823"/>
    </row>
    <row r="81" spans="1:87" ht="9.9499999999999993" customHeight="1">
      <c r="A81" s="1405" t="s">
        <v>17</v>
      </c>
      <c r="B81" s="1405"/>
      <c r="C81" s="1405"/>
      <c r="D81" s="1398"/>
      <c r="E81" s="1398"/>
      <c r="F81" s="1398"/>
      <c r="G81" s="827"/>
      <c r="H81" s="1070"/>
      <c r="I81" s="1070"/>
      <c r="J81" s="1061"/>
      <c r="K81" s="1458"/>
      <c r="L81" s="1458"/>
      <c r="M81" s="1458"/>
      <c r="N81" s="1458"/>
      <c r="O81" s="1456"/>
      <c r="P81" s="1456"/>
      <c r="Q81" s="1456"/>
      <c r="R81" s="1459"/>
      <c r="S81" s="1459"/>
      <c r="T81" s="1459"/>
      <c r="U81" s="1459"/>
      <c r="V81" s="1456"/>
      <c r="W81" s="1456"/>
      <c r="X81" s="1456"/>
      <c r="Y81" s="1064"/>
      <c r="Z81" s="1068"/>
      <c r="AA81" s="1061"/>
      <c r="AB81" s="1061"/>
      <c r="AC81" s="1061"/>
      <c r="AD81" s="1069"/>
      <c r="AE81" s="1061"/>
      <c r="AF81" s="1061"/>
      <c r="AG81" s="1061"/>
      <c r="AH81" s="1069"/>
      <c r="AI81" s="1064"/>
      <c r="AJ81" s="1064"/>
      <c r="AK81" s="1061"/>
      <c r="AL81" s="1069"/>
      <c r="AM81" s="1061"/>
      <c r="AN81" s="1061"/>
      <c r="AO81" s="1061"/>
      <c r="AP81" s="1069"/>
      <c r="AQ81" s="1061"/>
      <c r="AR81" s="1061"/>
      <c r="AS81" s="1061"/>
      <c r="AT81" s="1069"/>
      <c r="AU81" s="1061"/>
      <c r="AV81" s="1061"/>
      <c r="AW81" s="1061"/>
      <c r="AX81" s="1069"/>
      <c r="AY81" s="1061"/>
      <c r="AZ81" s="1061"/>
      <c r="BA81" s="1061"/>
      <c r="BB81" s="1069"/>
      <c r="BC81" s="1061"/>
      <c r="BD81" s="1061"/>
      <c r="BE81" s="1061"/>
      <c r="BF81" s="1069"/>
      <c r="BG81" s="1061"/>
      <c r="BH81" s="1061"/>
      <c r="BI81" s="1061"/>
      <c r="BJ81" s="1069"/>
      <c r="BK81" s="1061"/>
      <c r="BL81" s="1061"/>
      <c r="BM81" s="1061"/>
      <c r="BN81" s="1069"/>
      <c r="BO81" s="1061"/>
      <c r="BP81" s="1061"/>
      <c r="BQ81" s="1061"/>
      <c r="BR81" s="1069"/>
      <c r="BS81" s="1061"/>
      <c r="BT81" s="1061"/>
      <c r="BU81" s="1061"/>
      <c r="BV81" s="1069"/>
      <c r="BW81" s="1064"/>
      <c r="BX81" s="1064"/>
      <c r="BY81" s="1064"/>
      <c r="BZ81" s="1066"/>
      <c r="CA81" s="825"/>
      <c r="CB81" s="823"/>
      <c r="CC81" s="823"/>
      <c r="CD81" s="823"/>
      <c r="CE81" s="823"/>
      <c r="CF81" s="823"/>
      <c r="CG81" s="823"/>
      <c r="CH81" s="823"/>
      <c r="CI81" s="823"/>
    </row>
    <row r="82" spans="1:87" ht="9.9499999999999993" customHeight="1">
      <c r="A82" s="1406"/>
      <c r="B82" s="1406"/>
      <c r="C82" s="1406"/>
      <c r="D82" s="1398"/>
      <c r="E82" s="1398"/>
      <c r="F82" s="1398"/>
      <c r="G82" s="827"/>
      <c r="H82" s="1070"/>
      <c r="I82" s="1070"/>
      <c r="J82" s="1061"/>
      <c r="K82" s="1458"/>
      <c r="L82" s="1458"/>
      <c r="M82" s="1458"/>
      <c r="N82" s="1458"/>
      <c r="O82" s="1456"/>
      <c r="P82" s="1456"/>
      <c r="Q82" s="1456"/>
      <c r="R82" s="1459"/>
      <c r="S82" s="1459"/>
      <c r="T82" s="1459"/>
      <c r="U82" s="1459"/>
      <c r="V82" s="1456"/>
      <c r="W82" s="1456"/>
      <c r="X82" s="1456"/>
      <c r="Y82" s="1064"/>
      <c r="Z82" s="1068"/>
      <c r="AA82" s="1061"/>
      <c r="AB82" s="1061"/>
      <c r="AC82" s="1061"/>
      <c r="AD82" s="1069"/>
      <c r="AE82" s="1061"/>
      <c r="AF82" s="1061"/>
      <c r="AG82" s="1061"/>
      <c r="AH82" s="1069"/>
      <c r="AI82" s="1064"/>
      <c r="AJ82" s="1064"/>
      <c r="AK82" s="1061"/>
      <c r="AL82" s="1069"/>
      <c r="AM82" s="1061"/>
      <c r="AN82" s="1061"/>
      <c r="AO82" s="1061"/>
      <c r="AP82" s="1069"/>
      <c r="AQ82" s="1061"/>
      <c r="AR82" s="1061"/>
      <c r="AS82" s="1061"/>
      <c r="AT82" s="1069"/>
      <c r="AU82" s="1061"/>
      <c r="AV82" s="1061"/>
      <c r="AW82" s="1061"/>
      <c r="AX82" s="1069"/>
      <c r="AY82" s="1061"/>
      <c r="AZ82" s="1061"/>
      <c r="BA82" s="1061"/>
      <c r="BB82" s="1069"/>
      <c r="BC82" s="1061"/>
      <c r="BD82" s="1061"/>
      <c r="BE82" s="1061"/>
      <c r="BF82" s="1069"/>
      <c r="BG82" s="1061"/>
      <c r="BH82" s="1061"/>
      <c r="BI82" s="1061"/>
      <c r="BJ82" s="1069"/>
      <c r="BK82" s="1061"/>
      <c r="BL82" s="1061"/>
      <c r="BM82" s="1061"/>
      <c r="BN82" s="1069"/>
      <c r="BO82" s="1061"/>
      <c r="BP82" s="1061"/>
      <c r="BQ82" s="1061"/>
      <c r="BR82" s="1069"/>
      <c r="BS82" s="1061"/>
      <c r="BT82" s="1061"/>
      <c r="BU82" s="1061"/>
      <c r="BV82" s="1069"/>
      <c r="BW82" s="1064"/>
      <c r="BX82" s="1064"/>
      <c r="BY82" s="1064"/>
      <c r="BZ82" s="1066"/>
      <c r="CA82" s="824"/>
      <c r="CB82" s="823"/>
      <c r="CC82" s="823"/>
      <c r="CD82" s="823"/>
      <c r="CE82" s="823"/>
      <c r="CF82" s="823"/>
      <c r="CG82" s="823"/>
      <c r="CH82" s="823"/>
      <c r="CI82" s="823"/>
    </row>
    <row r="83" spans="1:87" ht="9.9499999999999993" customHeight="1">
      <c r="A83" s="1407"/>
      <c r="B83" s="1407"/>
      <c r="C83" s="1407"/>
      <c r="D83" s="1398"/>
      <c r="E83" s="1398"/>
      <c r="F83" s="1398"/>
      <c r="G83" s="827"/>
      <c r="H83" s="1070"/>
      <c r="I83" s="1070"/>
      <c r="J83" s="1061"/>
      <c r="K83" s="1458"/>
      <c r="L83" s="1458"/>
      <c r="M83" s="1458"/>
      <c r="N83" s="1458"/>
      <c r="O83" s="1456"/>
      <c r="P83" s="1456"/>
      <c r="Q83" s="1456"/>
      <c r="R83" s="1459"/>
      <c r="S83" s="1459"/>
      <c r="T83" s="1459"/>
      <c r="U83" s="1459"/>
      <c r="V83" s="1456"/>
      <c r="W83" s="1456"/>
      <c r="X83" s="1456"/>
      <c r="Y83" s="1064"/>
      <c r="Z83" s="1068"/>
      <c r="AA83" s="1061"/>
      <c r="AB83" s="1061"/>
      <c r="AC83" s="1061"/>
      <c r="AD83" s="1069"/>
      <c r="AE83" s="1061"/>
      <c r="AF83" s="1061"/>
      <c r="AG83" s="1061"/>
      <c r="AH83" s="1069"/>
      <c r="AI83" s="1064"/>
      <c r="AJ83" s="1064"/>
      <c r="AK83" s="1061"/>
      <c r="AL83" s="1069"/>
      <c r="AM83" s="1061"/>
      <c r="AN83" s="1061"/>
      <c r="AO83" s="1061"/>
      <c r="AP83" s="1069"/>
      <c r="AQ83" s="1061"/>
      <c r="AR83" s="1061"/>
      <c r="AS83" s="1061"/>
      <c r="AT83" s="1069"/>
      <c r="AU83" s="1061"/>
      <c r="AV83" s="1061"/>
      <c r="AW83" s="1061"/>
      <c r="AX83" s="1069"/>
      <c r="AY83" s="1061"/>
      <c r="AZ83" s="1061"/>
      <c r="BA83" s="1061"/>
      <c r="BB83" s="1069"/>
      <c r="BC83" s="1061"/>
      <c r="BD83" s="1061"/>
      <c r="BE83" s="1061"/>
      <c r="BF83" s="1069"/>
      <c r="BG83" s="1061"/>
      <c r="BH83" s="1061"/>
      <c r="BI83" s="1061"/>
      <c r="BJ83" s="1069"/>
      <c r="BK83" s="1061"/>
      <c r="BL83" s="1061"/>
      <c r="BM83" s="1061"/>
      <c r="BN83" s="1069"/>
      <c r="BO83" s="1061"/>
      <c r="BP83" s="1061"/>
      <c r="BQ83" s="1061"/>
      <c r="BR83" s="1069"/>
      <c r="BS83" s="1061"/>
      <c r="BT83" s="1061"/>
      <c r="BU83" s="1061"/>
      <c r="BV83" s="1069"/>
      <c r="BW83" s="1064"/>
      <c r="BX83" s="1064"/>
      <c r="BY83" s="1064"/>
      <c r="BZ83" s="1066"/>
      <c r="CA83" s="824"/>
      <c r="CB83" s="823"/>
      <c r="CC83" s="823"/>
      <c r="CD83" s="823"/>
      <c r="CE83" s="823"/>
      <c r="CF83" s="823"/>
      <c r="CG83" s="823"/>
      <c r="CH83" s="823"/>
      <c r="CI83" s="823"/>
    </row>
    <row r="84" spans="1:87" ht="9.9499999999999993" customHeight="1" thickBot="1">
      <c r="A84" s="1408">
        <f>BE55</f>
        <v>13</v>
      </c>
      <c r="B84" s="1409"/>
      <c r="C84" s="1410"/>
      <c r="D84" s="1399"/>
      <c r="E84" s="1399"/>
      <c r="F84" s="1399"/>
      <c r="G84" s="827"/>
      <c r="H84" s="1070"/>
      <c r="I84" s="1070"/>
      <c r="J84" s="1061"/>
      <c r="K84" s="1458"/>
      <c r="L84" s="1458"/>
      <c r="M84" s="1458"/>
      <c r="N84" s="1458"/>
      <c r="O84" s="1456"/>
      <c r="P84" s="1456"/>
      <c r="Q84" s="1456"/>
      <c r="R84" s="1459"/>
      <c r="S84" s="1459"/>
      <c r="T84" s="1459"/>
      <c r="U84" s="1459"/>
      <c r="V84" s="1456"/>
      <c r="W84" s="1456"/>
      <c r="X84" s="1456"/>
      <c r="Y84" s="1064"/>
      <c r="Z84" s="1068"/>
      <c r="AA84" s="1061"/>
      <c r="AB84" s="1061"/>
      <c r="AC84" s="1061"/>
      <c r="AD84" s="1069"/>
      <c r="AE84" s="1061"/>
      <c r="AF84" s="1061"/>
      <c r="AG84" s="1061"/>
      <c r="AH84" s="1069"/>
      <c r="AI84" s="1064"/>
      <c r="AJ84" s="1064"/>
      <c r="AK84" s="1061"/>
      <c r="AL84" s="1069"/>
      <c r="AM84" s="1061"/>
      <c r="AN84" s="1061"/>
      <c r="AO84" s="1061"/>
      <c r="AP84" s="1069"/>
      <c r="AQ84" s="1061"/>
      <c r="AR84" s="1061"/>
      <c r="AS84" s="1061"/>
      <c r="AT84" s="1069"/>
      <c r="AU84" s="1061"/>
      <c r="AV84" s="1061"/>
      <c r="AW84" s="1061"/>
      <c r="AX84" s="1069"/>
      <c r="AY84" s="1061"/>
      <c r="AZ84" s="1061"/>
      <c r="BA84" s="1061"/>
      <c r="BB84" s="1069"/>
      <c r="BC84" s="1061"/>
      <c r="BD84" s="1061"/>
      <c r="BE84" s="1061"/>
      <c r="BF84" s="1069"/>
      <c r="BG84" s="1061"/>
      <c r="BH84" s="1061"/>
      <c r="BI84" s="1061"/>
      <c r="BJ84" s="1069"/>
      <c r="BK84" s="1061"/>
      <c r="BL84" s="1061"/>
      <c r="BM84" s="1061"/>
      <c r="BN84" s="1069"/>
      <c r="BO84" s="1061"/>
      <c r="BP84" s="1061"/>
      <c r="BQ84" s="1061"/>
      <c r="BR84" s="1069"/>
      <c r="BS84" s="1061"/>
      <c r="BT84" s="1061"/>
      <c r="BU84" s="1061"/>
      <c r="BV84" s="1069"/>
      <c r="BW84" s="1064"/>
      <c r="BX84" s="1064"/>
      <c r="BY84" s="1064"/>
      <c r="BZ84" s="1066"/>
      <c r="CA84" s="824"/>
      <c r="CB84" s="823"/>
      <c r="CC84" s="823"/>
      <c r="CD84" s="823"/>
      <c r="CE84" s="823"/>
      <c r="CF84" s="823"/>
      <c r="CG84" s="823"/>
      <c r="CH84" s="823"/>
      <c r="CI84" s="823"/>
    </row>
    <row r="85" spans="1:87" ht="9.9499999999999993" customHeight="1">
      <c r="A85" s="1394"/>
      <c r="B85" s="1395"/>
      <c r="C85" s="1396"/>
      <c r="D85" s="1398"/>
      <c r="E85" s="1398"/>
      <c r="F85" s="1398"/>
      <c r="G85" s="828"/>
      <c r="H85" s="829"/>
      <c r="I85" s="829"/>
      <c r="J85" s="1074"/>
      <c r="K85" s="1458"/>
      <c r="L85" s="1458"/>
      <c r="M85" s="1458"/>
      <c r="N85" s="1458"/>
      <c r="O85" s="1456"/>
      <c r="P85" s="1456"/>
      <c r="Q85" s="1456"/>
      <c r="R85" s="1459"/>
      <c r="S85" s="1459"/>
      <c r="T85" s="1459"/>
      <c r="U85" s="1459"/>
      <c r="V85" s="1456"/>
      <c r="W85" s="1456"/>
      <c r="X85" s="1456"/>
      <c r="Y85" s="1072"/>
      <c r="Z85" s="1073"/>
      <c r="AA85" s="1074"/>
      <c r="AB85" s="1074"/>
      <c r="AC85" s="1074"/>
      <c r="AD85" s="1075"/>
      <c r="AE85" s="1074"/>
      <c r="AF85" s="1074"/>
      <c r="AG85" s="1074"/>
      <c r="AH85" s="1075"/>
      <c r="AI85" s="1072"/>
      <c r="AJ85" s="1072"/>
      <c r="AK85" s="1074"/>
      <c r="AL85" s="1075"/>
      <c r="AM85" s="1074"/>
      <c r="AN85" s="1074"/>
      <c r="AO85" s="1074"/>
      <c r="AP85" s="1075"/>
      <c r="AQ85" s="1074"/>
      <c r="AR85" s="1074"/>
      <c r="AS85" s="1074"/>
      <c r="AT85" s="1075"/>
      <c r="AU85" s="1074"/>
      <c r="AV85" s="1074"/>
      <c r="AW85" s="1074"/>
      <c r="AX85" s="1075"/>
      <c r="AY85" s="1074"/>
      <c r="AZ85" s="1074"/>
      <c r="BA85" s="1074"/>
      <c r="BB85" s="1075"/>
      <c r="BC85" s="1074"/>
      <c r="BD85" s="1074"/>
      <c r="BE85" s="1074"/>
      <c r="BF85" s="1075"/>
      <c r="BG85" s="1074"/>
      <c r="BH85" s="1074"/>
      <c r="BI85" s="1074"/>
      <c r="BJ85" s="1075"/>
      <c r="BK85" s="1074"/>
      <c r="BL85" s="1074"/>
      <c r="BM85" s="1074"/>
      <c r="BN85" s="1075"/>
      <c r="BO85" s="1074"/>
      <c r="BP85" s="1074"/>
      <c r="BQ85" s="1074"/>
      <c r="BR85" s="1075"/>
      <c r="BS85" s="1074"/>
      <c r="BT85" s="1074"/>
      <c r="BU85" s="1074"/>
      <c r="BV85" s="1075"/>
      <c r="BW85" s="1074"/>
      <c r="BX85" s="1074"/>
      <c r="BY85" s="1074"/>
      <c r="BZ85" s="1080"/>
      <c r="CA85" s="826"/>
      <c r="CB85" s="823"/>
      <c r="CC85" s="823"/>
      <c r="CD85" s="823"/>
      <c r="CE85" s="823"/>
      <c r="CF85" s="823"/>
      <c r="CG85" s="823"/>
      <c r="CH85" s="823"/>
      <c r="CI85" s="823"/>
    </row>
    <row r="86" spans="1:87" ht="9.9499999999999993" customHeight="1">
      <c r="A86" s="1394"/>
      <c r="B86" s="1395"/>
      <c r="C86" s="1396"/>
      <c r="D86" s="1398" t="s">
        <v>80</v>
      </c>
      <c r="E86" s="1398"/>
      <c r="F86" s="1398"/>
      <c r="G86" s="830"/>
      <c r="H86" s="831"/>
      <c r="I86" s="831"/>
      <c r="J86" s="1060"/>
      <c r="K86" s="1458"/>
      <c r="L86" s="1458"/>
      <c r="M86" s="1458"/>
      <c r="N86" s="1458"/>
      <c r="O86" s="1456"/>
      <c r="P86" s="1456"/>
      <c r="Q86" s="1456"/>
      <c r="R86" s="1459"/>
      <c r="S86" s="1459"/>
      <c r="T86" s="1459"/>
      <c r="U86" s="1459"/>
      <c r="V86" s="1456"/>
      <c r="W86" s="1456"/>
      <c r="X86" s="1456"/>
      <c r="Y86" s="1078"/>
      <c r="Z86" s="1077"/>
      <c r="AA86" s="1060"/>
      <c r="AB86" s="1060"/>
      <c r="AC86" s="1060"/>
      <c r="AD86" s="1077"/>
      <c r="AE86" s="1060"/>
      <c r="AF86" s="1060"/>
      <c r="AG86" s="1058"/>
      <c r="AH86" s="1081"/>
      <c r="AI86" s="1058"/>
      <c r="AJ86" s="1058"/>
      <c r="AK86" s="1060"/>
      <c r="AL86" s="1077"/>
      <c r="AM86" s="1060"/>
      <c r="AN86" s="1060"/>
      <c r="AO86" s="1060"/>
      <c r="AP86" s="1077"/>
      <c r="AQ86" s="1060"/>
      <c r="AR86" s="1060"/>
      <c r="AS86" s="1060"/>
      <c r="AT86" s="1077"/>
      <c r="AU86" s="1060"/>
      <c r="AV86" s="1060"/>
      <c r="AW86" s="1060"/>
      <c r="AX86" s="1077"/>
      <c r="AY86" s="1060"/>
      <c r="AZ86" s="1060"/>
      <c r="BA86" s="1060"/>
      <c r="BB86" s="1077"/>
      <c r="BC86" s="1060"/>
      <c r="BD86" s="1060"/>
      <c r="BE86" s="1060"/>
      <c r="BF86" s="1077"/>
      <c r="BG86" s="1060"/>
      <c r="BH86" s="1060"/>
      <c r="BI86" s="1060"/>
      <c r="BJ86" s="1077"/>
      <c r="BK86" s="1060"/>
      <c r="BL86" s="1060"/>
      <c r="BM86" s="1060"/>
      <c r="BN86" s="1077"/>
      <c r="BO86" s="1060"/>
      <c r="BP86" s="1060"/>
      <c r="BQ86" s="1060"/>
      <c r="BR86" s="1077"/>
      <c r="BS86" s="1060"/>
      <c r="BT86" s="1060"/>
      <c r="BU86" s="1060"/>
      <c r="BV86" s="1077"/>
      <c r="BW86" s="1060"/>
      <c r="BX86" s="1060"/>
      <c r="BY86" s="1060"/>
      <c r="BZ86" s="1062"/>
      <c r="CA86" s="824"/>
      <c r="CB86" s="823"/>
      <c r="CC86" s="823"/>
      <c r="CD86" s="823"/>
      <c r="CE86" s="823"/>
      <c r="CF86" s="823"/>
      <c r="CG86" s="823"/>
      <c r="CH86" s="823"/>
      <c r="CI86" s="823"/>
    </row>
    <row r="87" spans="1:87" ht="9.9499999999999993" customHeight="1">
      <c r="A87" s="1405" t="s">
        <v>16</v>
      </c>
      <c r="B87" s="1405"/>
      <c r="C87" s="1405"/>
      <c r="D87" s="1398"/>
      <c r="E87" s="1398"/>
      <c r="F87" s="1398"/>
      <c r="G87" s="827"/>
      <c r="H87" s="1070"/>
      <c r="I87" s="1070"/>
      <c r="J87" s="1061"/>
      <c r="K87" s="1458"/>
      <c r="L87" s="1458"/>
      <c r="M87" s="1458"/>
      <c r="N87" s="1458"/>
      <c r="O87" s="1456"/>
      <c r="P87" s="1456"/>
      <c r="Q87" s="1456"/>
      <c r="R87" s="1459"/>
      <c r="S87" s="1459"/>
      <c r="T87" s="1459"/>
      <c r="U87" s="1459"/>
      <c r="V87" s="1456"/>
      <c r="W87" s="1456"/>
      <c r="X87" s="1456"/>
      <c r="Y87" s="1061"/>
      <c r="Z87" s="1069"/>
      <c r="AA87" s="1061"/>
      <c r="AB87" s="1061"/>
      <c r="AC87" s="1061"/>
      <c r="AD87" s="1069"/>
      <c r="AE87" s="1061"/>
      <c r="AF87" s="1061"/>
      <c r="AG87" s="1064"/>
      <c r="AH87" s="1068"/>
      <c r="AI87" s="1064"/>
      <c r="AJ87" s="1064"/>
      <c r="AK87" s="1061"/>
      <c r="AL87" s="1069"/>
      <c r="AM87" s="1061"/>
      <c r="AN87" s="1061"/>
      <c r="AO87" s="1061"/>
      <c r="AP87" s="1069"/>
      <c r="AQ87" s="1061"/>
      <c r="AR87" s="1061"/>
      <c r="AS87" s="1061"/>
      <c r="AT87" s="1069"/>
      <c r="AU87" s="1061"/>
      <c r="AV87" s="1061"/>
      <c r="AW87" s="1061"/>
      <c r="AX87" s="1069"/>
      <c r="AY87" s="1061"/>
      <c r="AZ87" s="1061"/>
      <c r="BA87" s="1061"/>
      <c r="BB87" s="1069"/>
      <c r="BC87" s="1061"/>
      <c r="BD87" s="1061"/>
      <c r="BE87" s="1061"/>
      <c r="BF87" s="1069"/>
      <c r="BG87" s="1061"/>
      <c r="BH87" s="1061"/>
      <c r="BI87" s="1061"/>
      <c r="BJ87" s="1069"/>
      <c r="BK87" s="1061"/>
      <c r="BL87" s="1061"/>
      <c r="BM87" s="1061"/>
      <c r="BN87" s="1069"/>
      <c r="BO87" s="1061"/>
      <c r="BP87" s="1061"/>
      <c r="BQ87" s="1061"/>
      <c r="BR87" s="1069"/>
      <c r="BS87" s="1061"/>
      <c r="BT87" s="1061"/>
      <c r="BU87" s="1061"/>
      <c r="BV87" s="1069"/>
      <c r="BW87" s="1064"/>
      <c r="BX87" s="1064"/>
      <c r="BY87" s="1064"/>
      <c r="BZ87" s="1066"/>
      <c r="CA87" s="824"/>
      <c r="CB87" s="823"/>
      <c r="CC87" s="823"/>
      <c r="CD87" s="823"/>
      <c r="CE87" s="823"/>
      <c r="CF87" s="823"/>
      <c r="CG87" s="823"/>
      <c r="CH87" s="823"/>
      <c r="CI87" s="823"/>
    </row>
    <row r="88" spans="1:87" ht="9.9499999999999993" customHeight="1">
      <c r="A88" s="1406"/>
      <c r="B88" s="1406"/>
      <c r="C88" s="1406"/>
      <c r="D88" s="1398"/>
      <c r="E88" s="1398"/>
      <c r="F88" s="1398"/>
      <c r="G88" s="827"/>
      <c r="H88" s="1070"/>
      <c r="I88" s="1070"/>
      <c r="J88" s="1061"/>
      <c r="K88" s="1458"/>
      <c r="L88" s="1458"/>
      <c r="M88" s="1458"/>
      <c r="N88" s="1458"/>
      <c r="O88" s="1456"/>
      <c r="P88" s="1456"/>
      <c r="Q88" s="1456"/>
      <c r="R88" s="1459"/>
      <c r="S88" s="1459"/>
      <c r="T88" s="1459"/>
      <c r="U88" s="1459"/>
      <c r="V88" s="1456"/>
      <c r="W88" s="1456"/>
      <c r="X88" s="1456"/>
      <c r="Y88" s="1061"/>
      <c r="Z88" s="1069"/>
      <c r="AA88" s="1061"/>
      <c r="AB88" s="1061"/>
      <c r="AC88" s="1061"/>
      <c r="AD88" s="1069"/>
      <c r="AE88" s="1061"/>
      <c r="AF88" s="1061"/>
      <c r="AG88" s="1064"/>
      <c r="AH88" s="1068"/>
      <c r="AI88" s="1064"/>
      <c r="AJ88" s="1064"/>
      <c r="AK88" s="1061"/>
      <c r="AL88" s="1069"/>
      <c r="AM88" s="1061"/>
      <c r="AN88" s="1061"/>
      <c r="AO88" s="1061"/>
      <c r="AP88" s="1069"/>
      <c r="AQ88" s="1061"/>
      <c r="AR88" s="1061"/>
      <c r="AS88" s="1061"/>
      <c r="AT88" s="1069"/>
      <c r="AU88" s="1061"/>
      <c r="AV88" s="1061"/>
      <c r="AW88" s="1061"/>
      <c r="AX88" s="1069"/>
      <c r="AY88" s="1061"/>
      <c r="AZ88" s="1061"/>
      <c r="BA88" s="1061"/>
      <c r="BB88" s="1069"/>
      <c r="BC88" s="1061"/>
      <c r="BD88" s="1061"/>
      <c r="BE88" s="1061"/>
      <c r="BF88" s="1069"/>
      <c r="BG88" s="1061"/>
      <c r="BH88" s="1061"/>
      <c r="BI88" s="1061"/>
      <c r="BJ88" s="1069"/>
      <c r="BK88" s="1061"/>
      <c r="BL88" s="1061"/>
      <c r="BM88" s="1061"/>
      <c r="BN88" s="1069"/>
      <c r="BO88" s="1061"/>
      <c r="BP88" s="1061"/>
      <c r="BQ88" s="1061"/>
      <c r="BR88" s="1069"/>
      <c r="BS88" s="1061"/>
      <c r="BT88" s="1061"/>
      <c r="BU88" s="1061"/>
      <c r="BV88" s="1069"/>
      <c r="BW88" s="1064"/>
      <c r="BX88" s="1064"/>
      <c r="BY88" s="1064"/>
      <c r="BZ88" s="1066"/>
      <c r="CA88" s="825"/>
      <c r="CB88" s="823"/>
      <c r="CC88" s="823"/>
      <c r="CD88" s="823"/>
      <c r="CE88" s="823"/>
      <c r="CF88" s="823"/>
      <c r="CG88" s="823"/>
      <c r="CH88" s="823"/>
      <c r="CI88" s="823"/>
    </row>
    <row r="89" spans="1:87" ht="9.9499999999999993" customHeight="1">
      <c r="A89" s="1407"/>
      <c r="B89" s="1407"/>
      <c r="C89" s="1407"/>
      <c r="D89" s="1398"/>
      <c r="E89" s="1398"/>
      <c r="F89" s="1398"/>
      <c r="G89" s="827"/>
      <c r="H89" s="1070"/>
      <c r="I89" s="1070"/>
      <c r="J89" s="1061"/>
      <c r="K89" s="1458"/>
      <c r="L89" s="1458"/>
      <c r="M89" s="1458"/>
      <c r="N89" s="1458"/>
      <c r="O89" s="1456"/>
      <c r="P89" s="1456"/>
      <c r="Q89" s="1456"/>
      <c r="R89" s="1459"/>
      <c r="S89" s="1459"/>
      <c r="T89" s="1459"/>
      <c r="U89" s="1459"/>
      <c r="V89" s="1456"/>
      <c r="W89" s="1456"/>
      <c r="X89" s="1456"/>
      <c r="Y89" s="1061"/>
      <c r="Z89" s="1069"/>
      <c r="AA89" s="1061"/>
      <c r="AB89" s="1061"/>
      <c r="AC89" s="1061"/>
      <c r="AD89" s="1069"/>
      <c r="AE89" s="1061"/>
      <c r="AF89" s="1061"/>
      <c r="AG89" s="1064"/>
      <c r="AH89" s="1068"/>
      <c r="AI89" s="1064"/>
      <c r="AJ89" s="1064"/>
      <c r="AK89" s="1061"/>
      <c r="AL89" s="1069"/>
      <c r="AM89" s="1061"/>
      <c r="AN89" s="1061"/>
      <c r="AO89" s="1061"/>
      <c r="AP89" s="1069"/>
      <c r="AQ89" s="1061"/>
      <c r="AR89" s="1061"/>
      <c r="AS89" s="1061"/>
      <c r="AT89" s="1069"/>
      <c r="AU89" s="1061"/>
      <c r="AV89" s="1061"/>
      <c r="AW89" s="1061"/>
      <c r="AX89" s="1069"/>
      <c r="AY89" s="1061"/>
      <c r="AZ89" s="1061"/>
      <c r="BA89" s="1061"/>
      <c r="BB89" s="1069"/>
      <c r="BC89" s="1061"/>
      <c r="BD89" s="1061"/>
      <c r="BE89" s="1061"/>
      <c r="BF89" s="1069"/>
      <c r="BG89" s="1061"/>
      <c r="BH89" s="1061"/>
      <c r="BI89" s="1061"/>
      <c r="BJ89" s="1069"/>
      <c r="BK89" s="1061"/>
      <c r="BL89" s="1061"/>
      <c r="BM89" s="1061"/>
      <c r="BN89" s="1069"/>
      <c r="BO89" s="1061"/>
      <c r="BP89" s="1061"/>
      <c r="BQ89" s="1061"/>
      <c r="BR89" s="1069"/>
      <c r="BS89" s="1061"/>
      <c r="BT89" s="1061"/>
      <c r="BU89" s="1061"/>
      <c r="BV89" s="1069"/>
      <c r="BW89" s="1064"/>
      <c r="BX89" s="1064"/>
      <c r="BY89" s="1064"/>
      <c r="BZ89" s="1066"/>
      <c r="CA89" s="825"/>
      <c r="CB89" s="823"/>
      <c r="CC89" s="823"/>
      <c r="CD89" s="823"/>
      <c r="CE89" s="823"/>
      <c r="CF89" s="823"/>
      <c r="CG89" s="823"/>
      <c r="CH89" s="823"/>
      <c r="CI89" s="823"/>
    </row>
    <row r="90" spans="1:87" ht="9.9499999999999993" customHeight="1">
      <c r="A90" s="1415" t="s">
        <v>43</v>
      </c>
      <c r="B90" s="1415"/>
      <c r="C90" s="1415"/>
      <c r="D90" s="1398"/>
      <c r="E90" s="1398"/>
      <c r="F90" s="1398"/>
      <c r="G90" s="827"/>
      <c r="H90" s="1070"/>
      <c r="I90" s="1070"/>
      <c r="J90" s="1061"/>
      <c r="K90" s="1458"/>
      <c r="L90" s="1458"/>
      <c r="M90" s="1458"/>
      <c r="N90" s="1458"/>
      <c r="O90" s="1456"/>
      <c r="P90" s="1456"/>
      <c r="Q90" s="1456"/>
      <c r="R90" s="1459"/>
      <c r="S90" s="1459"/>
      <c r="T90" s="1459"/>
      <c r="U90" s="1459"/>
      <c r="V90" s="1456"/>
      <c r="W90" s="1456"/>
      <c r="X90" s="1456"/>
      <c r="Y90" s="1061"/>
      <c r="Z90" s="1069"/>
      <c r="AA90" s="1061"/>
      <c r="AB90" s="1061"/>
      <c r="AC90" s="1061"/>
      <c r="AD90" s="1069"/>
      <c r="AE90" s="1061"/>
      <c r="AF90" s="1061"/>
      <c r="AG90" s="1064"/>
      <c r="AH90" s="1068"/>
      <c r="AI90" s="1064"/>
      <c r="AJ90" s="1064"/>
      <c r="AK90" s="1061"/>
      <c r="AL90" s="1069"/>
      <c r="AM90" s="1061"/>
      <c r="AN90" s="1061"/>
      <c r="AO90" s="1061"/>
      <c r="AP90" s="1069"/>
      <c r="AQ90" s="1061"/>
      <c r="AR90" s="1061"/>
      <c r="AS90" s="1061"/>
      <c r="AT90" s="1069"/>
      <c r="AU90" s="1061"/>
      <c r="AV90" s="1061"/>
      <c r="AW90" s="1061"/>
      <c r="AX90" s="1069"/>
      <c r="AY90" s="1061"/>
      <c r="AZ90" s="1061"/>
      <c r="BA90" s="1061"/>
      <c r="BB90" s="1069"/>
      <c r="BC90" s="1061"/>
      <c r="BD90" s="1061"/>
      <c r="BE90" s="1061"/>
      <c r="BF90" s="1069"/>
      <c r="BG90" s="1061"/>
      <c r="BH90" s="1061"/>
      <c r="BI90" s="1061"/>
      <c r="BJ90" s="1069"/>
      <c r="BK90" s="1061"/>
      <c r="BL90" s="1061"/>
      <c r="BM90" s="1061"/>
      <c r="BN90" s="1069"/>
      <c r="BO90" s="1061"/>
      <c r="BP90" s="1061"/>
      <c r="BQ90" s="1061"/>
      <c r="BR90" s="1069"/>
      <c r="BS90" s="1061"/>
      <c r="BT90" s="1061"/>
      <c r="BU90" s="1061"/>
      <c r="BV90" s="1069"/>
      <c r="BW90" s="1064"/>
      <c r="BX90" s="1064"/>
      <c r="BY90" s="1064"/>
      <c r="BZ90" s="1066"/>
      <c r="CA90" s="824"/>
      <c r="CB90" s="823"/>
      <c r="CC90" s="823"/>
      <c r="CD90" s="823"/>
      <c r="CE90" s="823"/>
      <c r="CF90" s="823"/>
      <c r="CG90" s="823"/>
      <c r="CH90" s="823"/>
      <c r="CI90" s="823"/>
    </row>
    <row r="91" spans="1:87" ht="9.9499999999999993" customHeight="1">
      <c r="A91" s="1444" t="str">
        <f>BK55</f>
        <v>火</v>
      </c>
      <c r="B91" s="1444"/>
      <c r="C91" s="1444"/>
      <c r="D91" s="1398"/>
      <c r="E91" s="1398"/>
      <c r="F91" s="1398"/>
      <c r="G91" s="827"/>
      <c r="H91" s="1070"/>
      <c r="I91" s="1070"/>
      <c r="J91" s="1061"/>
      <c r="K91" s="1458"/>
      <c r="L91" s="1458"/>
      <c r="M91" s="1458"/>
      <c r="N91" s="1458"/>
      <c r="O91" s="1456"/>
      <c r="P91" s="1456"/>
      <c r="Q91" s="1456"/>
      <c r="R91" s="1459"/>
      <c r="S91" s="1459"/>
      <c r="T91" s="1459"/>
      <c r="U91" s="1459"/>
      <c r="V91" s="1456"/>
      <c r="W91" s="1456"/>
      <c r="X91" s="1456"/>
      <c r="Y91" s="1061"/>
      <c r="Z91" s="1069"/>
      <c r="AA91" s="1061"/>
      <c r="AB91" s="1061"/>
      <c r="AC91" s="1061"/>
      <c r="AD91" s="1069"/>
      <c r="AE91" s="1061"/>
      <c r="AF91" s="1061"/>
      <c r="AG91" s="1064"/>
      <c r="AH91" s="1068"/>
      <c r="AI91" s="1064"/>
      <c r="AJ91" s="1064"/>
      <c r="AK91" s="1061"/>
      <c r="AL91" s="1069"/>
      <c r="AM91" s="1061"/>
      <c r="AN91" s="1061"/>
      <c r="AO91" s="1061"/>
      <c r="AP91" s="1069"/>
      <c r="AQ91" s="1061"/>
      <c r="AR91" s="1061"/>
      <c r="AS91" s="1061"/>
      <c r="AT91" s="1069"/>
      <c r="AU91" s="1061"/>
      <c r="AV91" s="1061"/>
      <c r="AW91" s="1061"/>
      <c r="AX91" s="1069"/>
      <c r="AY91" s="1061"/>
      <c r="AZ91" s="1061"/>
      <c r="BA91" s="1061"/>
      <c r="BB91" s="1069"/>
      <c r="BC91" s="1061"/>
      <c r="BD91" s="1061"/>
      <c r="BE91" s="1061"/>
      <c r="BF91" s="1069"/>
      <c r="BG91" s="1061"/>
      <c r="BH91" s="1061"/>
      <c r="BI91" s="1061"/>
      <c r="BJ91" s="1069"/>
      <c r="BK91" s="1061"/>
      <c r="BL91" s="1061"/>
      <c r="BM91" s="1061"/>
      <c r="BN91" s="1069"/>
      <c r="BO91" s="1061"/>
      <c r="BP91" s="1061"/>
      <c r="BQ91" s="1061"/>
      <c r="BR91" s="1069"/>
      <c r="BS91" s="1061"/>
      <c r="BT91" s="1061"/>
      <c r="BU91" s="1061"/>
      <c r="BV91" s="1069"/>
      <c r="BW91" s="1064"/>
      <c r="BX91" s="1064"/>
      <c r="BY91" s="1064"/>
      <c r="BZ91" s="1066"/>
      <c r="CA91" s="824"/>
      <c r="CB91" s="823"/>
      <c r="CC91" s="823"/>
      <c r="CD91" s="823"/>
      <c r="CE91" s="823"/>
      <c r="CF91" s="823"/>
      <c r="CG91" s="823"/>
      <c r="CH91" s="823"/>
      <c r="CI91" s="823"/>
    </row>
    <row r="92" spans="1:87" ht="9.9499999999999993" customHeight="1">
      <c r="A92" s="1445"/>
      <c r="B92" s="1445"/>
      <c r="C92" s="1445"/>
      <c r="D92" s="1398"/>
      <c r="E92" s="1398"/>
      <c r="F92" s="1398"/>
      <c r="G92" s="827"/>
      <c r="H92" s="1070"/>
      <c r="I92" s="1070"/>
      <c r="J92" s="1061"/>
      <c r="K92" s="1458"/>
      <c r="L92" s="1458"/>
      <c r="M92" s="1458"/>
      <c r="N92" s="1458"/>
      <c r="O92" s="1456"/>
      <c r="P92" s="1456"/>
      <c r="Q92" s="1456"/>
      <c r="R92" s="1459"/>
      <c r="S92" s="1459"/>
      <c r="T92" s="1459"/>
      <c r="U92" s="1459"/>
      <c r="V92" s="1456"/>
      <c r="W92" s="1456"/>
      <c r="X92" s="1456"/>
      <c r="Y92" s="1061"/>
      <c r="Z92" s="1069"/>
      <c r="AA92" s="1061"/>
      <c r="AB92" s="1061"/>
      <c r="AC92" s="1061"/>
      <c r="AD92" s="1069"/>
      <c r="AE92" s="1061"/>
      <c r="AF92" s="1061"/>
      <c r="AG92" s="1064"/>
      <c r="AH92" s="1068"/>
      <c r="AI92" s="1064"/>
      <c r="AJ92" s="1064"/>
      <c r="AK92" s="1061"/>
      <c r="AL92" s="1069"/>
      <c r="AM92" s="1061"/>
      <c r="AN92" s="1061"/>
      <c r="AO92" s="1061"/>
      <c r="AP92" s="1069"/>
      <c r="AQ92" s="1061"/>
      <c r="AR92" s="1061"/>
      <c r="AS92" s="1061"/>
      <c r="AT92" s="1069"/>
      <c r="AU92" s="1061"/>
      <c r="AV92" s="1061"/>
      <c r="AW92" s="1061"/>
      <c r="AX92" s="1069"/>
      <c r="AY92" s="1061"/>
      <c r="AZ92" s="1061"/>
      <c r="BA92" s="1061"/>
      <c r="BB92" s="1069"/>
      <c r="BC92" s="1061"/>
      <c r="BD92" s="1061"/>
      <c r="BE92" s="1061"/>
      <c r="BF92" s="1069"/>
      <c r="BG92" s="1061"/>
      <c r="BH92" s="1061"/>
      <c r="BI92" s="1061"/>
      <c r="BJ92" s="1069"/>
      <c r="BK92" s="1061"/>
      <c r="BL92" s="1061"/>
      <c r="BM92" s="1061"/>
      <c r="BN92" s="1069"/>
      <c r="BO92" s="1061"/>
      <c r="BP92" s="1061"/>
      <c r="BQ92" s="1061"/>
      <c r="BR92" s="1069"/>
      <c r="BS92" s="1061"/>
      <c r="BT92" s="1061"/>
      <c r="BU92" s="1061"/>
      <c r="BV92" s="1069"/>
      <c r="BW92" s="1064"/>
      <c r="BX92" s="1064"/>
      <c r="BY92" s="1064"/>
      <c r="BZ92" s="1066"/>
      <c r="CA92" s="824"/>
      <c r="CB92" s="823"/>
      <c r="CC92" s="823"/>
      <c r="CD92" s="823"/>
      <c r="CE92" s="823"/>
      <c r="CF92" s="823"/>
      <c r="CG92" s="823"/>
      <c r="CH92" s="823"/>
      <c r="CI92" s="823"/>
    </row>
    <row r="93" spans="1:87" ht="9.9499999999999993" customHeight="1">
      <c r="A93" s="1405" t="s">
        <v>42</v>
      </c>
      <c r="B93" s="1405"/>
      <c r="C93" s="1405"/>
      <c r="D93" s="1398"/>
      <c r="E93" s="1398"/>
      <c r="F93" s="1398"/>
      <c r="G93" s="828"/>
      <c r="H93" s="829"/>
      <c r="I93" s="829"/>
      <c r="J93" s="1074"/>
      <c r="K93" s="1458"/>
      <c r="L93" s="1458"/>
      <c r="M93" s="1458"/>
      <c r="N93" s="1458"/>
      <c r="O93" s="1456"/>
      <c r="P93" s="1456"/>
      <c r="Q93" s="1456"/>
      <c r="R93" s="1459"/>
      <c r="S93" s="1459"/>
      <c r="T93" s="1459"/>
      <c r="U93" s="1459"/>
      <c r="V93" s="1456"/>
      <c r="W93" s="1456"/>
      <c r="X93" s="1456"/>
      <c r="Y93" s="1074"/>
      <c r="Z93" s="1074"/>
      <c r="AA93" s="1083"/>
      <c r="AB93" s="1074"/>
      <c r="AC93" s="1074"/>
      <c r="AD93" s="1074"/>
      <c r="AE93" s="1083"/>
      <c r="AF93" s="1074"/>
      <c r="AG93" s="1072"/>
      <c r="AH93" s="1076"/>
      <c r="AI93" s="1072"/>
      <c r="AJ93" s="1072"/>
      <c r="AK93" s="1074"/>
      <c r="AL93" s="1074"/>
      <c r="AM93" s="1083"/>
      <c r="AN93" s="1074"/>
      <c r="AO93" s="1074"/>
      <c r="AP93" s="1074"/>
      <c r="AQ93" s="1083"/>
      <c r="AR93" s="1074"/>
      <c r="AS93" s="1074"/>
      <c r="AT93" s="1074"/>
      <c r="AU93" s="1083"/>
      <c r="AV93" s="1074"/>
      <c r="AW93" s="1074"/>
      <c r="AX93" s="1074"/>
      <c r="AY93" s="1083"/>
      <c r="AZ93" s="1074"/>
      <c r="BA93" s="1074"/>
      <c r="BB93" s="1074"/>
      <c r="BC93" s="1083"/>
      <c r="BD93" s="1074"/>
      <c r="BE93" s="1074"/>
      <c r="BF93" s="1074"/>
      <c r="BG93" s="1083"/>
      <c r="BH93" s="1074"/>
      <c r="BI93" s="1074"/>
      <c r="BJ93" s="1074"/>
      <c r="BK93" s="1083"/>
      <c r="BL93" s="1074"/>
      <c r="BM93" s="1074"/>
      <c r="BN93" s="1074"/>
      <c r="BO93" s="1083"/>
      <c r="BP93" s="1074"/>
      <c r="BQ93" s="1074"/>
      <c r="BR93" s="1074"/>
      <c r="BS93" s="1083"/>
      <c r="BT93" s="1074"/>
      <c r="BU93" s="1074"/>
      <c r="BV93" s="1074"/>
      <c r="BW93" s="1082"/>
      <c r="BX93" s="1072"/>
      <c r="BY93" s="1072"/>
      <c r="BZ93" s="1076"/>
      <c r="CA93" s="826"/>
      <c r="CB93" s="823"/>
      <c r="CC93" s="823"/>
      <c r="CD93" s="823"/>
      <c r="CE93" s="823"/>
      <c r="CF93" s="823"/>
      <c r="CG93" s="823"/>
      <c r="CH93" s="823"/>
      <c r="CI93" s="823"/>
    </row>
    <row r="94" spans="1:87" ht="13.5" customHeight="1">
      <c r="A94" s="1084"/>
      <c r="B94" s="1084"/>
      <c r="C94" s="1084"/>
      <c r="D94" s="1084"/>
      <c r="E94" s="1084"/>
      <c r="F94" s="1084"/>
      <c r="G94" s="1404"/>
      <c r="H94" s="1404"/>
      <c r="I94" s="1402">
        <v>0.25</v>
      </c>
      <c r="J94" s="1402"/>
      <c r="K94" s="1402"/>
      <c r="L94" s="1402"/>
      <c r="M94" s="1402">
        <v>0.29166666666666669</v>
      </c>
      <c r="N94" s="1402"/>
      <c r="O94" s="1402"/>
      <c r="P94" s="1402"/>
      <c r="Q94" s="1402">
        <v>0.33333333333333331</v>
      </c>
      <c r="R94" s="1402"/>
      <c r="S94" s="1402"/>
      <c r="T94" s="1402"/>
      <c r="U94" s="1402">
        <v>0.375</v>
      </c>
      <c r="V94" s="1402"/>
      <c r="W94" s="1402"/>
      <c r="X94" s="1402"/>
      <c r="Y94" s="1402">
        <v>0.41666666666666669</v>
      </c>
      <c r="Z94" s="1419"/>
      <c r="AA94" s="1402"/>
      <c r="AB94" s="1402"/>
      <c r="AC94" s="1402">
        <v>0.45833333333333331</v>
      </c>
      <c r="AD94" s="1402"/>
      <c r="AE94" s="1402"/>
      <c r="AF94" s="1402"/>
      <c r="AG94" s="1403">
        <v>0.5</v>
      </c>
      <c r="AH94" s="1403"/>
      <c r="AI94" s="1403"/>
      <c r="AJ94" s="1403"/>
      <c r="AK94" s="1403">
        <v>4.1666666666666664E-2</v>
      </c>
      <c r="AL94" s="1403"/>
      <c r="AM94" s="1403"/>
      <c r="AN94" s="1403"/>
      <c r="AO94" s="1403">
        <v>8.3333333333333329E-2</v>
      </c>
      <c r="AP94" s="1403"/>
      <c r="AQ94" s="1403"/>
      <c r="AR94" s="1403"/>
      <c r="AS94" s="1403">
        <v>0.125</v>
      </c>
      <c r="AT94" s="1403"/>
      <c r="AU94" s="1403"/>
      <c r="AV94" s="1403"/>
      <c r="AW94" s="1403">
        <v>0.16666666666666666</v>
      </c>
      <c r="AX94" s="1403"/>
      <c r="AY94" s="1403"/>
      <c r="AZ94" s="1403"/>
      <c r="BA94" s="1403">
        <v>0.20833333333333334</v>
      </c>
      <c r="BB94" s="1403"/>
      <c r="BC94" s="1403"/>
      <c r="BD94" s="1403"/>
      <c r="BE94" s="1403">
        <v>0.25</v>
      </c>
      <c r="BF94" s="1403"/>
      <c r="BG94" s="1403"/>
      <c r="BH94" s="1403"/>
      <c r="BI94" s="1403">
        <v>0.29166666666666669</v>
      </c>
      <c r="BJ94" s="1403"/>
      <c r="BK94" s="1403"/>
      <c r="BL94" s="1403"/>
      <c r="BM94" s="1403">
        <v>0.33333333333333331</v>
      </c>
      <c r="BN94" s="1403"/>
      <c r="BO94" s="1403"/>
      <c r="BP94" s="1403"/>
      <c r="BQ94" s="1403">
        <v>0.375</v>
      </c>
      <c r="BR94" s="1403"/>
      <c r="BS94" s="1403"/>
      <c r="BT94" s="1403"/>
      <c r="BU94" s="1403">
        <v>0.41666666666666669</v>
      </c>
      <c r="BV94" s="1417"/>
      <c r="BW94" s="1417"/>
      <c r="BX94" s="1417"/>
      <c r="CA94" s="820"/>
      <c r="CB94" s="823"/>
      <c r="CC94" s="823"/>
      <c r="CD94" s="823"/>
      <c r="CE94" s="823"/>
      <c r="CF94" s="823"/>
      <c r="CG94" s="823"/>
      <c r="CH94" s="823"/>
      <c r="CI94" s="823"/>
    </row>
    <row r="95" spans="1:87" ht="13.5" customHeight="1">
      <c r="A95" s="1406" t="s">
        <v>78</v>
      </c>
      <c r="B95" s="1406"/>
      <c r="C95" s="1406"/>
      <c r="D95" s="1418"/>
      <c r="E95" s="1418"/>
      <c r="F95" s="1418"/>
      <c r="G95" s="1418"/>
      <c r="H95" s="1418"/>
      <c r="I95" s="1418"/>
      <c r="J95" s="1418"/>
      <c r="K95" s="1418"/>
      <c r="L95" s="1418"/>
      <c r="M95" s="1418"/>
      <c r="N95" s="1418"/>
      <c r="O95" s="1418"/>
      <c r="P95" s="1418"/>
      <c r="Q95" s="1418"/>
      <c r="R95" s="1418"/>
      <c r="S95" s="1418"/>
      <c r="T95" s="1418"/>
      <c r="U95" s="1418"/>
      <c r="V95" s="1418"/>
      <c r="W95" s="1418"/>
      <c r="X95" s="1418"/>
      <c r="Y95" s="1418"/>
      <c r="Z95" s="1418"/>
      <c r="AA95" s="1418"/>
      <c r="AB95" s="1418"/>
      <c r="AC95" s="1418"/>
      <c r="AD95" s="1418"/>
      <c r="AE95" s="1418"/>
      <c r="AF95" s="1418"/>
      <c r="AG95" s="1418"/>
      <c r="AH95" s="1418"/>
      <c r="AI95" s="1418"/>
      <c r="AJ95" s="1418"/>
      <c r="AK95" s="1418"/>
      <c r="AL95" s="1418"/>
      <c r="AM95" s="1418"/>
      <c r="AN95" s="1418"/>
      <c r="AO95" s="1418"/>
      <c r="AP95" s="1418"/>
      <c r="AQ95" s="1418"/>
      <c r="AR95" s="1418"/>
      <c r="AS95" s="1418"/>
      <c r="AT95" s="1418"/>
      <c r="AU95" s="1418"/>
      <c r="AV95" s="1418"/>
      <c r="AW95" s="1418"/>
      <c r="AX95" s="1418"/>
      <c r="AY95" s="1418"/>
      <c r="AZ95" s="1418"/>
      <c r="BA95" s="1418"/>
      <c r="BB95" s="1418"/>
      <c r="BC95" s="1418"/>
      <c r="BD95" s="1418"/>
      <c r="BE95" s="1418"/>
      <c r="BF95" s="1418"/>
      <c r="BG95" s="1418"/>
      <c r="BH95" s="1418"/>
      <c r="BI95" s="1418"/>
      <c r="BJ95" s="1418"/>
      <c r="BK95" s="1418"/>
      <c r="BL95" s="1418"/>
      <c r="BM95" s="1418"/>
      <c r="BN95" s="1418"/>
      <c r="BO95" s="1418"/>
      <c r="BP95" s="1418"/>
      <c r="BQ95" s="1418"/>
      <c r="BR95" s="1418"/>
      <c r="BS95" s="1418"/>
      <c r="BT95" s="1418"/>
      <c r="BU95" s="1418"/>
      <c r="BV95" s="1418"/>
      <c r="BW95" s="1418"/>
      <c r="BX95" s="1418"/>
      <c r="BY95" s="1418"/>
      <c r="BZ95" s="1418"/>
      <c r="CA95" s="825"/>
      <c r="CB95" s="832"/>
      <c r="CC95" s="832"/>
      <c r="CD95" s="832"/>
      <c r="CE95" s="832"/>
      <c r="CF95" s="832"/>
      <c r="CG95" s="832"/>
      <c r="CH95" s="832"/>
      <c r="CI95" s="832"/>
    </row>
    <row r="96" spans="1:87">
      <c r="A96" s="1406"/>
      <c r="B96" s="1406"/>
      <c r="C96" s="1406"/>
      <c r="D96" s="1418"/>
      <c r="E96" s="1418"/>
      <c r="F96" s="1418"/>
      <c r="G96" s="1418"/>
      <c r="H96" s="1418"/>
      <c r="I96" s="1418"/>
      <c r="J96" s="1418"/>
      <c r="K96" s="1418"/>
      <c r="L96" s="1418"/>
      <c r="M96" s="1418"/>
      <c r="N96" s="1418"/>
      <c r="O96" s="1418"/>
      <c r="P96" s="1418"/>
      <c r="Q96" s="1418"/>
      <c r="R96" s="1418"/>
      <c r="S96" s="1418"/>
      <c r="T96" s="1418"/>
      <c r="U96" s="1418"/>
      <c r="V96" s="1418"/>
      <c r="W96" s="1418"/>
      <c r="X96" s="1418"/>
      <c r="Y96" s="1418"/>
      <c r="Z96" s="1418"/>
      <c r="AA96" s="1418"/>
      <c r="AB96" s="1418"/>
      <c r="AC96" s="1418"/>
      <c r="AD96" s="1418"/>
      <c r="AE96" s="1418"/>
      <c r="AF96" s="1418"/>
      <c r="AG96" s="1418"/>
      <c r="AH96" s="1418"/>
      <c r="AI96" s="1418"/>
      <c r="AJ96" s="1418"/>
      <c r="AK96" s="1418"/>
      <c r="AL96" s="1418"/>
      <c r="AM96" s="1418"/>
      <c r="AN96" s="1418"/>
      <c r="AO96" s="1418"/>
      <c r="AP96" s="1418"/>
      <c r="AQ96" s="1418"/>
      <c r="AR96" s="1418"/>
      <c r="AS96" s="1418"/>
      <c r="AT96" s="1418"/>
      <c r="AU96" s="1418"/>
      <c r="AV96" s="1418"/>
      <c r="AW96" s="1418"/>
      <c r="AX96" s="1418"/>
      <c r="AY96" s="1418"/>
      <c r="AZ96" s="1418"/>
      <c r="BA96" s="1418"/>
      <c r="BB96" s="1418"/>
      <c r="BC96" s="1418"/>
      <c r="BD96" s="1418"/>
      <c r="BE96" s="1418"/>
      <c r="BF96" s="1418"/>
      <c r="BG96" s="1418"/>
      <c r="BH96" s="1418"/>
      <c r="BI96" s="1418"/>
      <c r="BJ96" s="1418"/>
      <c r="BK96" s="1418"/>
      <c r="BL96" s="1418"/>
      <c r="BM96" s="1418"/>
      <c r="BN96" s="1418"/>
      <c r="BO96" s="1418"/>
      <c r="BP96" s="1418"/>
      <c r="BQ96" s="1418"/>
      <c r="BR96" s="1418"/>
      <c r="BS96" s="1418"/>
      <c r="BT96" s="1418"/>
      <c r="BU96" s="1418"/>
      <c r="BV96" s="1418"/>
      <c r="BW96" s="1418"/>
      <c r="BX96" s="1418"/>
      <c r="BY96" s="1418"/>
      <c r="BZ96" s="1418"/>
      <c r="CA96" s="825"/>
      <c r="CB96" s="832"/>
      <c r="CC96" s="832"/>
      <c r="CD96" s="832"/>
      <c r="CE96" s="832"/>
      <c r="CF96" s="832"/>
      <c r="CG96" s="832"/>
      <c r="CH96" s="832"/>
      <c r="CI96" s="832"/>
    </row>
    <row r="97" spans="1:87">
      <c r="A97" s="1406"/>
      <c r="B97" s="1406"/>
      <c r="C97" s="1406"/>
      <c r="D97" s="1418"/>
      <c r="E97" s="1418"/>
      <c r="F97" s="1418"/>
      <c r="G97" s="1418"/>
      <c r="H97" s="1418"/>
      <c r="I97" s="1418"/>
      <c r="J97" s="1418"/>
      <c r="K97" s="1418"/>
      <c r="L97" s="1418"/>
      <c r="M97" s="1418"/>
      <c r="N97" s="1418"/>
      <c r="O97" s="1418"/>
      <c r="P97" s="1418"/>
      <c r="Q97" s="1418"/>
      <c r="R97" s="1418"/>
      <c r="S97" s="1418"/>
      <c r="T97" s="1418"/>
      <c r="U97" s="1418"/>
      <c r="V97" s="1418"/>
      <c r="W97" s="1418"/>
      <c r="X97" s="1418"/>
      <c r="Y97" s="1418"/>
      <c r="Z97" s="1418"/>
      <c r="AA97" s="1418"/>
      <c r="AB97" s="1418"/>
      <c r="AC97" s="1418"/>
      <c r="AD97" s="1418"/>
      <c r="AE97" s="1418"/>
      <c r="AF97" s="1418"/>
      <c r="AG97" s="1418"/>
      <c r="AH97" s="1418"/>
      <c r="AI97" s="1418"/>
      <c r="AJ97" s="1418"/>
      <c r="AK97" s="1418"/>
      <c r="AL97" s="1418"/>
      <c r="AM97" s="1418"/>
      <c r="AN97" s="1418"/>
      <c r="AO97" s="1418"/>
      <c r="AP97" s="1418"/>
      <c r="AQ97" s="1418"/>
      <c r="AR97" s="1418"/>
      <c r="AS97" s="1418"/>
      <c r="AT97" s="1418"/>
      <c r="AU97" s="1418"/>
      <c r="AV97" s="1418"/>
      <c r="AW97" s="1418"/>
      <c r="AX97" s="1418"/>
      <c r="AY97" s="1418"/>
      <c r="AZ97" s="1418"/>
      <c r="BA97" s="1418"/>
      <c r="BB97" s="1418"/>
      <c r="BC97" s="1418"/>
      <c r="BD97" s="1418"/>
      <c r="BE97" s="1418"/>
      <c r="BF97" s="1418"/>
      <c r="BG97" s="1418"/>
      <c r="BH97" s="1418"/>
      <c r="BI97" s="1418"/>
      <c r="BJ97" s="1418"/>
      <c r="BK97" s="1418"/>
      <c r="BL97" s="1418"/>
      <c r="BM97" s="1418"/>
      <c r="BN97" s="1418"/>
      <c r="BO97" s="1418"/>
      <c r="BP97" s="1418"/>
      <c r="BQ97" s="1418"/>
      <c r="BR97" s="1418"/>
      <c r="BS97" s="1418"/>
      <c r="BT97" s="1418"/>
      <c r="BU97" s="1418"/>
      <c r="BV97" s="1418"/>
      <c r="BW97" s="1418"/>
      <c r="BX97" s="1418"/>
      <c r="BY97" s="1418"/>
      <c r="BZ97" s="1418"/>
      <c r="CA97" s="825"/>
      <c r="CB97" s="832"/>
      <c r="CC97" s="832"/>
      <c r="CD97" s="832"/>
      <c r="CE97" s="832"/>
      <c r="CF97" s="832"/>
      <c r="CG97" s="832"/>
      <c r="CH97" s="832"/>
      <c r="CI97" s="832"/>
    </row>
    <row r="98" spans="1:87">
      <c r="A98" s="1406"/>
      <c r="B98" s="1406"/>
      <c r="C98" s="1406"/>
      <c r="D98" s="1418"/>
      <c r="E98" s="1418"/>
      <c r="F98" s="1418"/>
      <c r="G98" s="1418"/>
      <c r="H98" s="1418"/>
      <c r="I98" s="1418"/>
      <c r="J98" s="1418"/>
      <c r="K98" s="1418"/>
      <c r="L98" s="1418"/>
      <c r="M98" s="1418"/>
      <c r="N98" s="1418"/>
      <c r="O98" s="1418"/>
      <c r="P98" s="1418"/>
      <c r="Q98" s="1418"/>
      <c r="R98" s="1418"/>
      <c r="S98" s="1418"/>
      <c r="T98" s="1418"/>
      <c r="U98" s="1418"/>
      <c r="V98" s="1418"/>
      <c r="W98" s="1418"/>
      <c r="X98" s="1418"/>
      <c r="Y98" s="1418"/>
      <c r="Z98" s="1418"/>
      <c r="AA98" s="1418"/>
      <c r="AB98" s="1418"/>
      <c r="AC98" s="1418"/>
      <c r="AD98" s="1418"/>
      <c r="AE98" s="1418"/>
      <c r="AF98" s="1418"/>
      <c r="AG98" s="1418"/>
      <c r="AH98" s="1418"/>
      <c r="AI98" s="1418"/>
      <c r="AJ98" s="1418"/>
      <c r="AK98" s="1418"/>
      <c r="AL98" s="1418"/>
      <c r="AM98" s="1418"/>
      <c r="AN98" s="1418"/>
      <c r="AO98" s="1418"/>
      <c r="AP98" s="1418"/>
      <c r="AQ98" s="1418"/>
      <c r="AR98" s="1418"/>
      <c r="AS98" s="1418"/>
      <c r="AT98" s="1418"/>
      <c r="AU98" s="1418"/>
      <c r="AV98" s="1418"/>
      <c r="AW98" s="1418"/>
      <c r="AX98" s="1418"/>
      <c r="AY98" s="1418"/>
      <c r="AZ98" s="1418"/>
      <c r="BA98" s="1418"/>
      <c r="BB98" s="1418"/>
      <c r="BC98" s="1418"/>
      <c r="BD98" s="1418"/>
      <c r="BE98" s="1418"/>
      <c r="BF98" s="1418"/>
      <c r="BG98" s="1418"/>
      <c r="BH98" s="1418"/>
      <c r="BI98" s="1418"/>
      <c r="BJ98" s="1418"/>
      <c r="BK98" s="1418"/>
      <c r="BL98" s="1418"/>
      <c r="BM98" s="1418"/>
      <c r="BN98" s="1418"/>
      <c r="BO98" s="1418"/>
      <c r="BP98" s="1418"/>
      <c r="BQ98" s="1418"/>
      <c r="BR98" s="1418"/>
      <c r="BS98" s="1418"/>
      <c r="BT98" s="1418"/>
      <c r="BU98" s="1418"/>
      <c r="BV98" s="1418"/>
      <c r="BW98" s="1418"/>
      <c r="BX98" s="1418"/>
      <c r="BY98" s="1418"/>
      <c r="BZ98" s="1418"/>
      <c r="CA98" s="825"/>
      <c r="CB98" s="832"/>
      <c r="CC98" s="832"/>
      <c r="CD98" s="832"/>
      <c r="CE98" s="832"/>
      <c r="CF98" s="832"/>
      <c r="CG98" s="832"/>
      <c r="CH98" s="832"/>
      <c r="CI98" s="832"/>
    </row>
    <row r="99" spans="1:87">
      <c r="A99" s="1406"/>
      <c r="B99" s="1406"/>
      <c r="C99" s="1406"/>
      <c r="D99" s="1418"/>
      <c r="E99" s="1418"/>
      <c r="F99" s="1418"/>
      <c r="G99" s="1418"/>
      <c r="H99" s="1418"/>
      <c r="I99" s="1418"/>
      <c r="J99" s="1418"/>
      <c r="K99" s="1418"/>
      <c r="L99" s="1418"/>
      <c r="M99" s="1418"/>
      <c r="N99" s="1418"/>
      <c r="O99" s="1418"/>
      <c r="P99" s="1418"/>
      <c r="Q99" s="1418"/>
      <c r="R99" s="1418"/>
      <c r="S99" s="1418"/>
      <c r="T99" s="1418"/>
      <c r="U99" s="1418"/>
      <c r="V99" s="1418"/>
      <c r="W99" s="1418"/>
      <c r="X99" s="1418"/>
      <c r="Y99" s="1418"/>
      <c r="Z99" s="1418"/>
      <c r="AA99" s="1418"/>
      <c r="AB99" s="1418"/>
      <c r="AC99" s="1418"/>
      <c r="AD99" s="1418"/>
      <c r="AE99" s="1418"/>
      <c r="AF99" s="1418"/>
      <c r="AG99" s="1418"/>
      <c r="AH99" s="1418"/>
      <c r="AI99" s="1418"/>
      <c r="AJ99" s="1418"/>
      <c r="AK99" s="1418"/>
      <c r="AL99" s="1418"/>
      <c r="AM99" s="1418"/>
      <c r="AN99" s="1418"/>
      <c r="AO99" s="1418"/>
      <c r="AP99" s="1418"/>
      <c r="AQ99" s="1418"/>
      <c r="AR99" s="1418"/>
      <c r="AS99" s="1418"/>
      <c r="AT99" s="1418"/>
      <c r="AU99" s="1418"/>
      <c r="AV99" s="1418"/>
      <c r="AW99" s="1418"/>
      <c r="AX99" s="1418"/>
      <c r="AY99" s="1418"/>
      <c r="AZ99" s="1418"/>
      <c r="BA99" s="1418"/>
      <c r="BB99" s="1418"/>
      <c r="BC99" s="1418"/>
      <c r="BD99" s="1418"/>
      <c r="BE99" s="1418"/>
      <c r="BF99" s="1418"/>
      <c r="BG99" s="1418"/>
      <c r="BH99" s="1418"/>
      <c r="BI99" s="1418"/>
      <c r="BJ99" s="1418"/>
      <c r="BK99" s="1418"/>
      <c r="BL99" s="1418"/>
      <c r="BM99" s="1418"/>
      <c r="BN99" s="1418"/>
      <c r="BO99" s="1418"/>
      <c r="BP99" s="1418"/>
      <c r="BQ99" s="1418"/>
      <c r="BR99" s="1418"/>
      <c r="BS99" s="1418"/>
      <c r="BT99" s="1418"/>
      <c r="BU99" s="1418"/>
      <c r="BV99" s="1418"/>
      <c r="BW99" s="1418"/>
      <c r="BX99" s="1418"/>
      <c r="BY99" s="1418"/>
      <c r="BZ99" s="1418"/>
      <c r="CA99" s="825"/>
      <c r="CB99" s="832"/>
      <c r="CC99" s="832"/>
      <c r="CD99" s="832"/>
      <c r="CE99" s="832"/>
      <c r="CF99" s="832"/>
      <c r="CG99" s="832"/>
      <c r="CH99" s="832"/>
      <c r="CI99" s="832"/>
    </row>
    <row r="100" spans="1:87">
      <c r="A100" s="1416" t="s">
        <v>91</v>
      </c>
      <c r="B100" s="1416"/>
      <c r="C100" s="1416"/>
      <c r="D100" s="1416"/>
      <c r="E100" s="1416"/>
      <c r="F100" s="1416"/>
      <c r="G100" s="1416"/>
      <c r="H100" s="1416"/>
      <c r="I100" s="1416"/>
      <c r="J100" s="1416"/>
      <c r="K100" s="1416"/>
      <c r="L100" s="1416"/>
      <c r="M100" s="1416"/>
      <c r="N100" s="1416"/>
      <c r="O100" s="1416"/>
      <c r="P100" s="1416"/>
      <c r="Q100" s="1416"/>
      <c r="R100" s="1416"/>
      <c r="S100" s="1416"/>
      <c r="T100" s="1416"/>
      <c r="U100" s="1416"/>
      <c r="V100" s="1416"/>
      <c r="W100" s="1416"/>
      <c r="X100" s="1416"/>
      <c r="Y100" s="1416"/>
      <c r="Z100" s="1416"/>
      <c r="AA100" s="1416"/>
      <c r="AB100" s="1416"/>
      <c r="AC100" s="1416"/>
      <c r="AD100" s="1416"/>
      <c r="AE100" s="1416"/>
      <c r="AF100" s="1416"/>
      <c r="AG100" s="1416"/>
      <c r="AH100" s="1416"/>
      <c r="AI100" s="1416"/>
      <c r="AJ100" s="1416"/>
      <c r="AK100" s="1416"/>
      <c r="AL100" s="1416"/>
      <c r="AM100" s="1416"/>
      <c r="AN100" s="1416"/>
      <c r="AO100" s="1416"/>
      <c r="AP100" s="1416"/>
      <c r="AQ100" s="1416"/>
      <c r="AR100" s="1416"/>
      <c r="AS100" s="1416"/>
      <c r="AT100" s="1416"/>
      <c r="AU100" s="1416"/>
      <c r="AV100" s="1416"/>
      <c r="AW100" s="1416"/>
      <c r="AX100" s="1416"/>
      <c r="AY100" s="1416"/>
      <c r="AZ100" s="1416"/>
      <c r="BA100" s="1416"/>
      <c r="BB100" s="1416"/>
      <c r="BC100" s="1416"/>
      <c r="BD100" s="1416"/>
      <c r="BE100" s="1416"/>
      <c r="BF100" s="1416"/>
      <c r="BG100" s="1416"/>
      <c r="BH100" s="1416"/>
      <c r="BI100" s="1416"/>
      <c r="BJ100" s="1416"/>
      <c r="BK100" s="1416"/>
      <c r="BL100" s="1416"/>
      <c r="BM100" s="1416"/>
      <c r="BN100" s="1416"/>
      <c r="BO100" s="1416"/>
      <c r="BP100" s="1416"/>
      <c r="BQ100" s="1416"/>
      <c r="BR100" s="1416"/>
      <c r="BS100" s="1416"/>
      <c r="BT100" s="1416"/>
      <c r="BU100" s="1416"/>
      <c r="BV100" s="1416"/>
      <c r="BW100" s="1416"/>
      <c r="BX100" s="1416"/>
      <c r="BY100" s="1416"/>
      <c r="BZ100" s="1416"/>
      <c r="CA100" s="820"/>
      <c r="CB100" s="823"/>
      <c r="CC100" s="823"/>
      <c r="CD100" s="823"/>
      <c r="CE100" s="823"/>
      <c r="CF100" s="823"/>
      <c r="CG100" s="823"/>
      <c r="CH100" s="823"/>
      <c r="CI100" s="823"/>
    </row>
    <row r="101" spans="1:87">
      <c r="A101" s="1416" t="s">
        <v>90</v>
      </c>
      <c r="B101" s="1416"/>
      <c r="C101" s="1416"/>
      <c r="D101" s="1416"/>
      <c r="E101" s="1416"/>
      <c r="F101" s="1416"/>
      <c r="G101" s="1416"/>
      <c r="H101" s="1416"/>
      <c r="I101" s="1416"/>
      <c r="J101" s="1416"/>
      <c r="K101" s="1416"/>
      <c r="L101" s="1416"/>
      <c r="M101" s="1416"/>
      <c r="N101" s="1416"/>
      <c r="O101" s="1416"/>
      <c r="P101" s="1416"/>
      <c r="Q101" s="1416"/>
      <c r="R101" s="1416"/>
      <c r="S101" s="1416"/>
      <c r="T101" s="1416"/>
      <c r="U101" s="1416"/>
      <c r="V101" s="1416"/>
      <c r="W101" s="1416"/>
      <c r="X101" s="1416"/>
      <c r="Y101" s="1416"/>
      <c r="Z101" s="1416"/>
      <c r="AA101" s="1416"/>
      <c r="AB101" s="1416"/>
      <c r="AC101" s="1416"/>
      <c r="AD101" s="1416"/>
      <c r="AE101" s="1416"/>
      <c r="AF101" s="1416"/>
      <c r="AG101" s="1416"/>
      <c r="AH101" s="1416"/>
      <c r="AI101" s="1416"/>
      <c r="AJ101" s="1416"/>
      <c r="AK101" s="1416"/>
      <c r="AL101" s="1416"/>
      <c r="AM101" s="1416"/>
      <c r="AN101" s="1416"/>
      <c r="AO101" s="1416"/>
      <c r="AP101" s="1416"/>
      <c r="AQ101" s="1416"/>
      <c r="AR101" s="1416"/>
      <c r="AS101" s="1416"/>
      <c r="AT101" s="1416"/>
      <c r="AU101" s="1416"/>
      <c r="AV101" s="1416"/>
      <c r="AW101" s="1416"/>
      <c r="AX101" s="1416"/>
      <c r="AY101" s="1416"/>
      <c r="AZ101" s="1416"/>
      <c r="BA101" s="1416"/>
      <c r="BB101" s="1416"/>
      <c r="BC101" s="1416"/>
      <c r="BD101" s="1416"/>
      <c r="BE101" s="1416"/>
      <c r="BF101" s="1416"/>
      <c r="BG101" s="1416"/>
      <c r="BH101" s="1416"/>
      <c r="BI101" s="1416"/>
      <c r="BJ101" s="1416"/>
      <c r="BK101" s="1416"/>
      <c r="BL101" s="1416"/>
      <c r="BM101" s="1416"/>
      <c r="BN101" s="1416"/>
      <c r="BO101" s="1416"/>
      <c r="BP101" s="1416"/>
      <c r="BQ101" s="1416"/>
      <c r="BR101" s="1416"/>
      <c r="BS101" s="1416"/>
      <c r="BT101" s="1416"/>
      <c r="BU101" s="1416"/>
      <c r="BV101" s="1416"/>
      <c r="BW101" s="1416"/>
      <c r="BX101" s="1416"/>
      <c r="BY101" s="1416"/>
      <c r="BZ101" s="1416"/>
      <c r="CA101" s="820"/>
      <c r="CB101" s="823"/>
      <c r="CC101" s="823"/>
      <c r="CD101" s="823"/>
      <c r="CE101" s="823"/>
      <c r="CF101" s="823"/>
      <c r="CG101" s="823"/>
      <c r="CH101" s="823"/>
      <c r="CI101" s="823"/>
    </row>
    <row r="102" spans="1:87">
      <c r="A102" s="1416" t="s">
        <v>89</v>
      </c>
      <c r="B102" s="1416"/>
      <c r="C102" s="1416"/>
      <c r="D102" s="1416"/>
      <c r="E102" s="1416"/>
      <c r="F102" s="1416"/>
      <c r="G102" s="1416"/>
      <c r="H102" s="1416"/>
      <c r="I102" s="1416"/>
      <c r="J102" s="1416"/>
      <c r="K102" s="1416"/>
      <c r="L102" s="1416"/>
      <c r="M102" s="1416"/>
      <c r="N102" s="1416"/>
      <c r="O102" s="1416"/>
      <c r="P102" s="1416"/>
      <c r="Q102" s="1416"/>
      <c r="R102" s="1416"/>
      <c r="S102" s="1416"/>
      <c r="T102" s="1416"/>
      <c r="U102" s="1416"/>
      <c r="V102" s="1416"/>
      <c r="W102" s="1416"/>
      <c r="X102" s="1416"/>
      <c r="Y102" s="1416"/>
      <c r="Z102" s="1416"/>
      <c r="AA102" s="1416"/>
      <c r="AB102" s="1416"/>
      <c r="AC102" s="1416"/>
      <c r="AD102" s="1416"/>
      <c r="AE102" s="1416"/>
      <c r="AF102" s="1416"/>
      <c r="AG102" s="1416"/>
      <c r="AH102" s="1416"/>
      <c r="AI102" s="1416"/>
      <c r="AJ102" s="1416"/>
      <c r="AK102" s="1416"/>
      <c r="AL102" s="1416"/>
      <c r="AM102" s="1416"/>
      <c r="AN102" s="1416"/>
      <c r="AO102" s="1416"/>
      <c r="AP102" s="1416"/>
      <c r="AQ102" s="1416"/>
      <c r="AR102" s="1416"/>
      <c r="AS102" s="1416"/>
      <c r="AT102" s="1416"/>
      <c r="AU102" s="1416"/>
      <c r="AV102" s="1416"/>
      <c r="AW102" s="1416"/>
      <c r="AX102" s="1416"/>
      <c r="AY102" s="1416"/>
      <c r="AZ102" s="1416"/>
      <c r="BA102" s="1416"/>
      <c r="BB102" s="1416"/>
      <c r="BC102" s="1416"/>
      <c r="BD102" s="1416"/>
      <c r="BE102" s="1416"/>
      <c r="BF102" s="1416"/>
      <c r="BG102" s="1416"/>
      <c r="BH102" s="1416"/>
      <c r="BI102" s="1416"/>
      <c r="BJ102" s="1416"/>
      <c r="BK102" s="1416"/>
      <c r="BL102" s="1416"/>
      <c r="BM102" s="1416"/>
      <c r="BN102" s="1416"/>
      <c r="BO102" s="1416"/>
      <c r="BP102" s="1416"/>
      <c r="BQ102" s="1416"/>
      <c r="BR102" s="1416"/>
      <c r="BS102" s="1416"/>
      <c r="BT102" s="1416"/>
      <c r="BU102" s="1416"/>
      <c r="BV102" s="1416"/>
      <c r="BW102" s="1416"/>
      <c r="BX102" s="1416"/>
      <c r="BY102" s="1416"/>
      <c r="BZ102" s="1416"/>
      <c r="CA102" s="820"/>
      <c r="CB102" s="823"/>
      <c r="CC102" s="823"/>
      <c r="CD102" s="823"/>
      <c r="CE102" s="823"/>
      <c r="CF102" s="823"/>
      <c r="CG102" s="823"/>
      <c r="CH102" s="823"/>
      <c r="CI102" s="823"/>
    </row>
    <row r="103" spans="1:87" s="469" customFormat="1" ht="23.25">
      <c r="A103" s="833"/>
      <c r="B103" s="833"/>
      <c r="C103" s="833"/>
      <c r="D103" s="833"/>
      <c r="E103" s="833"/>
      <c r="F103" s="833"/>
      <c r="G103" s="833"/>
      <c r="H103" s="833"/>
      <c r="I103" s="833"/>
      <c r="J103" s="833"/>
      <c r="K103" s="833"/>
      <c r="L103" s="833"/>
      <c r="M103" s="833"/>
      <c r="N103" s="833"/>
      <c r="O103" s="833"/>
      <c r="P103" s="833"/>
      <c r="Q103" s="833"/>
      <c r="R103" s="833"/>
      <c r="S103" s="833"/>
      <c r="T103" s="833"/>
      <c r="U103" s="833"/>
      <c r="V103" s="833"/>
      <c r="W103" s="833"/>
      <c r="X103" s="833"/>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3"/>
      <c r="AY103" s="833"/>
      <c r="AZ103" s="833"/>
      <c r="BA103" s="833"/>
      <c r="BB103" s="833"/>
      <c r="BC103" s="833"/>
      <c r="BD103" s="833"/>
      <c r="BE103" s="833"/>
      <c r="BF103" s="833"/>
      <c r="BG103" s="833"/>
      <c r="BH103" s="833"/>
      <c r="BI103" s="833"/>
      <c r="BJ103" s="833"/>
      <c r="BK103" s="833"/>
      <c r="BL103" s="833"/>
      <c r="BM103" s="833"/>
      <c r="BN103" s="833"/>
      <c r="BO103" s="833"/>
      <c r="BP103" s="833"/>
      <c r="BQ103" s="833"/>
      <c r="BR103" s="833"/>
      <c r="BS103" s="833"/>
      <c r="BT103" s="833"/>
      <c r="BU103" s="833"/>
      <c r="BV103" s="833"/>
      <c r="BW103" s="833"/>
      <c r="BX103" s="833"/>
      <c r="BY103" s="833"/>
      <c r="BZ103" s="833"/>
      <c r="CA103" s="833"/>
      <c r="CB103" s="819"/>
      <c r="CC103" s="819"/>
      <c r="CD103" s="819"/>
      <c r="CE103" s="819"/>
      <c r="CF103" s="819"/>
      <c r="CG103" s="819"/>
      <c r="CH103" s="819"/>
      <c r="CI103" s="819"/>
    </row>
    <row r="104" spans="1:87" s="469" customFormat="1" ht="9.9499999999999993" customHeight="1">
      <c r="A104" s="511"/>
      <c r="B104" s="523"/>
      <c r="C104" s="523"/>
      <c r="D104" s="523"/>
      <c r="E104" s="523"/>
      <c r="F104" s="523"/>
      <c r="G104" s="523"/>
      <c r="H104" s="523"/>
      <c r="I104" s="523"/>
      <c r="J104" s="523"/>
      <c r="K104" s="523"/>
      <c r="L104" s="523"/>
      <c r="M104" s="523"/>
      <c r="N104" s="523"/>
      <c r="O104" s="523"/>
      <c r="P104" s="523"/>
      <c r="Q104" s="523"/>
      <c r="R104" s="523"/>
      <c r="S104" s="523"/>
      <c r="T104" s="523"/>
      <c r="U104" s="523"/>
      <c r="V104" s="523"/>
      <c r="W104" s="523"/>
      <c r="X104" s="523"/>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11"/>
      <c r="AV104" s="511"/>
      <c r="AW104" s="523"/>
      <c r="AX104" s="552"/>
      <c r="AY104" s="552"/>
      <c r="AZ104" s="552"/>
      <c r="BA104" s="552"/>
      <c r="BB104" s="552"/>
      <c r="BC104" s="552"/>
      <c r="BD104" s="552"/>
      <c r="BE104" s="552"/>
      <c r="BF104" s="552"/>
      <c r="BG104" s="552"/>
      <c r="BH104" s="552"/>
      <c r="BI104" s="552"/>
      <c r="BJ104" s="552"/>
      <c r="BK104" s="552"/>
      <c r="BL104" s="552"/>
      <c r="BM104" s="552"/>
      <c r="BN104" s="552"/>
      <c r="BO104" s="552"/>
      <c r="BP104" s="552"/>
      <c r="BQ104" s="552"/>
      <c r="BR104" s="552"/>
      <c r="BS104" s="552"/>
      <c r="BT104" s="552"/>
      <c r="BU104" s="552"/>
      <c r="BV104" s="552"/>
      <c r="BW104" s="511"/>
      <c r="BX104" s="511"/>
      <c r="BY104" s="511"/>
      <c r="BZ104" s="511"/>
      <c r="CA104" s="552"/>
    </row>
    <row r="105" spans="1:87" s="469" customFormat="1" ht="9.9499999999999993" customHeight="1">
      <c r="A105" s="511"/>
      <c r="B105" s="523"/>
      <c r="C105" s="523"/>
      <c r="D105" s="523"/>
      <c r="E105" s="523"/>
      <c r="F105" s="523"/>
      <c r="G105" s="523"/>
      <c r="H105" s="523"/>
      <c r="I105" s="523"/>
      <c r="J105" s="523"/>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c r="AR105" s="523"/>
      <c r="AS105" s="523"/>
      <c r="AT105" s="523"/>
      <c r="AU105" s="511"/>
      <c r="AV105" s="511"/>
      <c r="AW105" s="523"/>
      <c r="AX105" s="552"/>
      <c r="AY105" s="552"/>
      <c r="AZ105" s="552"/>
      <c r="BA105" s="552"/>
      <c r="BB105" s="552"/>
      <c r="BC105" s="552"/>
      <c r="BD105" s="552"/>
      <c r="BE105" s="552"/>
      <c r="BF105" s="552"/>
      <c r="BG105" s="552"/>
      <c r="BH105" s="552"/>
      <c r="BI105" s="552"/>
      <c r="BJ105" s="552"/>
      <c r="BK105" s="552"/>
      <c r="BL105" s="552"/>
      <c r="BM105" s="552"/>
      <c r="BN105" s="552"/>
      <c r="BO105" s="552"/>
      <c r="BP105" s="552"/>
      <c r="BQ105" s="552"/>
      <c r="BR105" s="552"/>
      <c r="BS105" s="552"/>
      <c r="BT105" s="552"/>
      <c r="BU105" s="552"/>
      <c r="BV105" s="552"/>
      <c r="BW105" s="552"/>
      <c r="BX105" s="552"/>
      <c r="BY105" s="552"/>
      <c r="BZ105" s="552"/>
      <c r="CA105" s="552"/>
    </row>
    <row r="106" spans="1:87" s="469" customFormat="1" ht="12" customHeight="1">
      <c r="A106" s="541"/>
      <c r="B106" s="541"/>
      <c r="C106" s="541"/>
      <c r="D106" s="541"/>
      <c r="E106" s="541"/>
      <c r="F106" s="541"/>
      <c r="G106" s="541"/>
      <c r="H106" s="834"/>
      <c r="I106" s="834"/>
      <c r="J106" s="834"/>
      <c r="K106" s="834"/>
      <c r="L106" s="834"/>
      <c r="M106" s="834"/>
      <c r="N106" s="834"/>
      <c r="O106" s="834"/>
      <c r="P106" s="834"/>
      <c r="Q106" s="834"/>
      <c r="R106" s="834"/>
      <c r="S106" s="834"/>
      <c r="T106" s="834"/>
      <c r="U106" s="834"/>
      <c r="V106" s="834"/>
      <c r="W106" s="834"/>
      <c r="X106" s="541"/>
      <c r="Y106" s="541"/>
      <c r="Z106" s="541"/>
      <c r="AA106" s="541"/>
      <c r="AB106" s="541"/>
      <c r="AC106" s="541"/>
      <c r="AD106" s="541"/>
      <c r="AE106" s="511"/>
      <c r="AF106" s="511"/>
      <c r="AG106" s="835"/>
      <c r="AH106" s="836"/>
      <c r="AI106" s="511"/>
      <c r="AJ106" s="511"/>
      <c r="AK106" s="835"/>
      <c r="AL106" s="836"/>
      <c r="AM106" s="511"/>
      <c r="AN106" s="511"/>
      <c r="AO106" s="835"/>
      <c r="AP106" s="836"/>
      <c r="AQ106" s="511"/>
      <c r="AR106" s="511"/>
      <c r="AS106" s="511"/>
      <c r="AT106" s="511"/>
      <c r="AU106" s="835"/>
      <c r="AV106" s="836"/>
      <c r="AW106" s="511"/>
      <c r="AX106" s="511"/>
      <c r="AY106" s="511"/>
      <c r="AZ106" s="511"/>
      <c r="BA106" s="835"/>
      <c r="BB106" s="836"/>
      <c r="BC106" s="511"/>
      <c r="BD106" s="511"/>
      <c r="BE106" s="835"/>
      <c r="BF106" s="836"/>
      <c r="BG106" s="511"/>
      <c r="BH106" s="511"/>
      <c r="BI106" s="511"/>
      <c r="BJ106" s="511"/>
      <c r="BK106" s="835"/>
      <c r="BL106" s="836"/>
      <c r="BM106" s="511"/>
      <c r="BN106" s="511"/>
      <c r="BO106" s="511"/>
      <c r="BP106" s="511"/>
      <c r="BQ106" s="511"/>
      <c r="BR106" s="511"/>
      <c r="BS106" s="837"/>
      <c r="BT106" s="517"/>
      <c r="BU106" s="511"/>
      <c r="BV106" s="511"/>
      <c r="BW106" s="837"/>
      <c r="BX106" s="517"/>
      <c r="BY106" s="511"/>
      <c r="BZ106" s="511"/>
      <c r="CA106" s="552"/>
    </row>
    <row r="107" spans="1:87" s="469" customFormat="1" ht="12" customHeight="1">
      <c r="A107" s="541"/>
      <c r="B107" s="541"/>
      <c r="C107" s="541"/>
      <c r="D107" s="541"/>
      <c r="E107" s="541"/>
      <c r="F107" s="541"/>
      <c r="G107" s="541"/>
      <c r="H107" s="834"/>
      <c r="I107" s="834"/>
      <c r="J107" s="834"/>
      <c r="K107" s="834"/>
      <c r="L107" s="834"/>
      <c r="M107" s="834"/>
      <c r="N107" s="834"/>
      <c r="O107" s="834"/>
      <c r="P107" s="834"/>
      <c r="Q107" s="834"/>
      <c r="R107" s="834"/>
      <c r="S107" s="834"/>
      <c r="T107" s="834"/>
      <c r="U107" s="834"/>
      <c r="V107" s="834"/>
      <c r="W107" s="834"/>
      <c r="X107" s="541"/>
      <c r="Y107" s="541"/>
      <c r="Z107" s="541"/>
      <c r="AA107" s="541"/>
      <c r="AB107" s="541"/>
      <c r="AC107" s="541"/>
      <c r="AD107" s="541"/>
      <c r="AE107" s="511"/>
      <c r="AF107" s="511"/>
      <c r="AG107" s="836"/>
      <c r="AH107" s="836"/>
      <c r="AI107" s="511"/>
      <c r="AJ107" s="511"/>
      <c r="AK107" s="836"/>
      <c r="AL107" s="836"/>
      <c r="AM107" s="511"/>
      <c r="AN107" s="511"/>
      <c r="AO107" s="836"/>
      <c r="AP107" s="836"/>
      <c r="AQ107" s="511"/>
      <c r="AR107" s="511"/>
      <c r="AS107" s="511"/>
      <c r="AT107" s="511"/>
      <c r="AU107" s="836"/>
      <c r="AV107" s="836"/>
      <c r="AW107" s="511"/>
      <c r="AX107" s="511"/>
      <c r="AY107" s="511"/>
      <c r="AZ107" s="511"/>
      <c r="BA107" s="836"/>
      <c r="BB107" s="836"/>
      <c r="BC107" s="511"/>
      <c r="BD107" s="511"/>
      <c r="BE107" s="836"/>
      <c r="BF107" s="836"/>
      <c r="BG107" s="511"/>
      <c r="BH107" s="511"/>
      <c r="BI107" s="511"/>
      <c r="BJ107" s="511"/>
      <c r="BK107" s="836"/>
      <c r="BL107" s="836"/>
      <c r="BM107" s="511"/>
      <c r="BN107" s="511"/>
      <c r="BO107" s="511"/>
      <c r="BP107" s="511"/>
      <c r="BQ107" s="511"/>
      <c r="BR107" s="511"/>
      <c r="BS107" s="511"/>
      <c r="BT107" s="511"/>
      <c r="BU107" s="511"/>
      <c r="BV107" s="511"/>
      <c r="BW107" s="517"/>
      <c r="BX107" s="517"/>
      <c r="BY107" s="511"/>
      <c r="BZ107" s="511"/>
      <c r="CA107" s="552"/>
    </row>
    <row r="108" spans="1:87" ht="10.5" customHeight="1">
      <c r="A108" s="838"/>
      <c r="B108" s="838"/>
      <c r="C108" s="838"/>
      <c r="D108" s="838"/>
      <c r="E108" s="838"/>
      <c r="F108" s="838"/>
      <c r="G108" s="839"/>
      <c r="H108" s="838"/>
      <c r="I108" s="838"/>
      <c r="J108" s="838"/>
      <c r="K108" s="838"/>
      <c r="L108" s="838"/>
      <c r="M108" s="838"/>
      <c r="N108" s="838"/>
      <c r="O108" s="838"/>
      <c r="P108" s="838"/>
      <c r="Q108" s="838"/>
      <c r="R108" s="838"/>
      <c r="S108" s="838"/>
      <c r="T108" s="838"/>
      <c r="U108" s="838"/>
      <c r="V108" s="838"/>
      <c r="W108" s="838"/>
      <c r="X108" s="838"/>
      <c r="Y108" s="838"/>
      <c r="Z108" s="838"/>
      <c r="AA108" s="838"/>
      <c r="AB108" s="838"/>
      <c r="AC108" s="838"/>
      <c r="AD108" s="838"/>
      <c r="AE108" s="838"/>
      <c r="AF108" s="839"/>
      <c r="AG108" s="839"/>
      <c r="AH108" s="840"/>
      <c r="AI108" s="839"/>
      <c r="AJ108" s="839"/>
      <c r="AK108" s="839"/>
      <c r="AL108" s="838"/>
      <c r="AM108" s="838"/>
      <c r="AN108" s="838"/>
      <c r="AO108" s="838"/>
      <c r="AP108" s="838"/>
      <c r="AQ108" s="838"/>
      <c r="AR108" s="838"/>
      <c r="AS108" s="838"/>
      <c r="AT108" s="838"/>
      <c r="AU108" s="838"/>
      <c r="AV108" s="838"/>
      <c r="AW108" s="838"/>
      <c r="AX108" s="838"/>
      <c r="AY108" s="838"/>
      <c r="AZ108" s="838"/>
      <c r="BA108" s="838"/>
      <c r="BB108" s="838"/>
      <c r="BC108" s="838"/>
      <c r="BD108" s="838"/>
      <c r="BE108" s="838"/>
      <c r="BF108" s="838"/>
      <c r="BG108" s="838"/>
      <c r="BH108" s="838"/>
      <c r="BI108" s="838"/>
      <c r="BJ108" s="838"/>
      <c r="BK108" s="838"/>
      <c r="BL108" s="838"/>
      <c r="BM108" s="838"/>
      <c r="BN108" s="838"/>
      <c r="BO108" s="838"/>
      <c r="BP108" s="838"/>
      <c r="BQ108" s="838"/>
      <c r="BR108" s="838"/>
      <c r="BS108" s="838"/>
      <c r="BT108" s="838"/>
      <c r="BU108" s="838"/>
      <c r="BV108" s="838"/>
      <c r="BW108" s="838"/>
      <c r="BX108" s="838"/>
      <c r="BY108" s="838"/>
      <c r="BZ108" s="838"/>
      <c r="CA108" s="838"/>
    </row>
    <row r="109" spans="1:87" ht="10.5" customHeight="1">
      <c r="A109" s="841"/>
      <c r="B109" s="841"/>
      <c r="C109" s="841"/>
      <c r="D109" s="841"/>
      <c r="E109" s="841"/>
      <c r="F109" s="841"/>
      <c r="G109" s="832"/>
      <c r="H109" s="832"/>
      <c r="I109" s="842"/>
      <c r="J109" s="842"/>
      <c r="K109" s="842"/>
      <c r="L109" s="842"/>
      <c r="M109" s="842"/>
      <c r="N109" s="842"/>
      <c r="O109" s="842"/>
      <c r="P109" s="842"/>
      <c r="Q109" s="842"/>
      <c r="R109" s="842"/>
      <c r="S109" s="842"/>
      <c r="T109" s="842"/>
      <c r="U109" s="842"/>
      <c r="V109" s="842"/>
      <c r="W109" s="842"/>
      <c r="X109" s="842"/>
      <c r="Y109" s="842"/>
      <c r="Z109" s="842"/>
      <c r="AA109" s="842"/>
      <c r="AB109" s="842"/>
      <c r="AC109" s="842"/>
      <c r="AD109" s="842"/>
      <c r="AE109" s="842"/>
      <c r="AF109" s="842"/>
      <c r="AG109" s="842"/>
      <c r="AH109" s="842"/>
      <c r="AI109" s="842"/>
      <c r="AJ109" s="842"/>
      <c r="AK109" s="842"/>
      <c r="AL109" s="842"/>
      <c r="AM109" s="842"/>
      <c r="AN109" s="842"/>
      <c r="AO109" s="842"/>
      <c r="AP109" s="842"/>
      <c r="AQ109" s="842"/>
      <c r="AR109" s="842"/>
      <c r="AS109" s="842"/>
      <c r="AT109" s="842"/>
      <c r="AU109" s="842"/>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2"/>
      <c r="BQ109" s="842"/>
      <c r="BR109" s="842"/>
      <c r="BS109" s="842"/>
      <c r="BT109" s="842"/>
      <c r="BU109" s="842"/>
      <c r="BV109" s="832"/>
      <c r="BW109" s="832"/>
      <c r="BX109" s="832"/>
      <c r="BY109" s="842"/>
      <c r="BZ109" s="842"/>
      <c r="CA109" s="842"/>
      <c r="CB109" s="823"/>
      <c r="CC109" s="823"/>
      <c r="CD109" s="823"/>
      <c r="CE109" s="823"/>
      <c r="CF109" s="823"/>
      <c r="CG109" s="823"/>
      <c r="CH109" s="823"/>
      <c r="CI109" s="823"/>
    </row>
    <row r="110" spans="1:87" ht="10.5" customHeight="1">
      <c r="A110" s="841"/>
      <c r="B110" s="841"/>
      <c r="C110" s="841"/>
      <c r="D110" s="841"/>
      <c r="E110" s="841"/>
      <c r="F110" s="841"/>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c r="AD110" s="843"/>
      <c r="AE110" s="843"/>
      <c r="AF110" s="843"/>
      <c r="AG110" s="843"/>
      <c r="AH110" s="843"/>
      <c r="AI110" s="843"/>
      <c r="AJ110" s="843"/>
      <c r="AK110" s="843"/>
      <c r="AL110" s="843"/>
      <c r="AM110" s="843"/>
      <c r="AN110" s="843"/>
      <c r="AO110" s="843"/>
      <c r="AP110" s="843"/>
      <c r="AQ110" s="843"/>
      <c r="AR110" s="843"/>
      <c r="AS110" s="843"/>
      <c r="AT110" s="843"/>
      <c r="AU110" s="843"/>
      <c r="AV110" s="843"/>
      <c r="AW110" s="843"/>
      <c r="AX110" s="843"/>
      <c r="AY110" s="843"/>
      <c r="AZ110" s="843"/>
      <c r="BA110" s="843"/>
      <c r="BB110" s="843"/>
      <c r="BC110" s="843"/>
      <c r="BD110" s="843"/>
      <c r="BE110" s="843"/>
      <c r="BF110" s="843"/>
      <c r="BG110" s="843"/>
      <c r="BH110" s="843"/>
      <c r="BI110" s="843"/>
      <c r="BJ110" s="843"/>
      <c r="BK110" s="843"/>
      <c r="BL110" s="843"/>
      <c r="BM110" s="843"/>
      <c r="BN110" s="843"/>
      <c r="BO110" s="843"/>
      <c r="BP110" s="843"/>
      <c r="BQ110" s="843"/>
      <c r="BR110" s="843"/>
      <c r="BS110" s="843"/>
      <c r="BT110" s="843"/>
      <c r="BU110" s="843"/>
      <c r="BV110" s="843"/>
      <c r="BW110" s="843"/>
      <c r="BX110" s="843"/>
      <c r="BY110" s="843"/>
      <c r="BZ110" s="843"/>
      <c r="CA110" s="832"/>
      <c r="CB110" s="823"/>
      <c r="CC110" s="823"/>
      <c r="CD110" s="823"/>
      <c r="CE110" s="823"/>
      <c r="CF110" s="823"/>
      <c r="CG110" s="823"/>
      <c r="CH110" s="823"/>
      <c r="CI110" s="823"/>
    </row>
    <row r="111" spans="1:87" ht="9.9499999999999993" customHeight="1">
      <c r="A111" s="844"/>
      <c r="B111" s="844"/>
      <c r="C111" s="844"/>
      <c r="D111" s="832"/>
      <c r="E111" s="832"/>
      <c r="F111" s="832"/>
      <c r="G111" s="845"/>
      <c r="H111" s="845"/>
      <c r="I111" s="845"/>
      <c r="J111" s="846"/>
      <c r="K111" s="846"/>
      <c r="L111" s="846"/>
      <c r="M111" s="847"/>
      <c r="N111" s="847"/>
      <c r="O111" s="847"/>
      <c r="P111" s="847"/>
      <c r="Q111" s="847"/>
      <c r="R111" s="847"/>
      <c r="S111" s="847"/>
      <c r="T111" s="847"/>
      <c r="U111" s="847"/>
      <c r="V111" s="847"/>
      <c r="W111" s="847"/>
      <c r="X111" s="847"/>
      <c r="Y111" s="847"/>
      <c r="Z111" s="848"/>
      <c r="AA111" s="848"/>
      <c r="AB111" s="848"/>
      <c r="AC111" s="849"/>
      <c r="AD111" s="849"/>
      <c r="AE111" s="849"/>
      <c r="AF111" s="849"/>
      <c r="AG111" s="849"/>
      <c r="AH111" s="850"/>
      <c r="AI111" s="851"/>
      <c r="AJ111" s="851"/>
      <c r="AK111" s="852"/>
      <c r="AL111" s="853"/>
      <c r="AM111" s="853"/>
      <c r="AN111" s="853"/>
      <c r="AO111" s="853"/>
      <c r="AP111" s="853"/>
      <c r="AQ111" s="853"/>
      <c r="AR111" s="853"/>
      <c r="AS111" s="848"/>
      <c r="AT111" s="848"/>
      <c r="AU111" s="854"/>
      <c r="AV111" s="854"/>
      <c r="AW111" s="854"/>
      <c r="AX111" s="854"/>
      <c r="AY111" s="854"/>
      <c r="AZ111" s="854"/>
      <c r="BA111" s="854"/>
      <c r="BB111" s="854"/>
      <c r="BC111" s="854"/>
      <c r="BD111" s="854"/>
      <c r="BE111" s="854"/>
      <c r="BF111" s="854"/>
      <c r="BG111" s="854"/>
      <c r="BH111" s="854"/>
      <c r="BI111" s="854"/>
      <c r="BJ111" s="854"/>
      <c r="BK111" s="854"/>
      <c r="BL111" s="854"/>
      <c r="BM111" s="854"/>
      <c r="BN111" s="854"/>
      <c r="BO111" s="854"/>
      <c r="BP111" s="854"/>
      <c r="BQ111" s="854"/>
      <c r="BR111" s="848"/>
      <c r="BS111" s="848"/>
      <c r="BT111" s="848"/>
      <c r="BU111" s="848"/>
      <c r="BV111" s="848"/>
      <c r="BW111" s="848"/>
      <c r="BX111" s="848"/>
      <c r="BY111" s="848"/>
      <c r="BZ111" s="848"/>
      <c r="CA111" s="847"/>
      <c r="CB111" s="823"/>
      <c r="CC111" s="823"/>
      <c r="CD111" s="823"/>
      <c r="CE111" s="823"/>
      <c r="CF111" s="823"/>
      <c r="CG111" s="823"/>
      <c r="CH111" s="823"/>
      <c r="CI111" s="823"/>
    </row>
    <row r="112" spans="1:87" ht="9.9499999999999993" customHeight="1">
      <c r="A112" s="844"/>
      <c r="B112" s="844"/>
      <c r="C112" s="844"/>
      <c r="D112" s="832"/>
      <c r="E112" s="832"/>
      <c r="F112" s="832"/>
      <c r="G112" s="845"/>
      <c r="H112" s="845"/>
      <c r="I112" s="845"/>
      <c r="J112" s="846"/>
      <c r="K112" s="846"/>
      <c r="L112" s="846"/>
      <c r="M112" s="847"/>
      <c r="N112" s="847"/>
      <c r="O112" s="847"/>
      <c r="P112" s="847"/>
      <c r="Q112" s="847"/>
      <c r="R112" s="847"/>
      <c r="S112" s="847"/>
      <c r="T112" s="847"/>
      <c r="U112" s="847"/>
      <c r="V112" s="847"/>
      <c r="W112" s="847"/>
      <c r="X112" s="847"/>
      <c r="Y112" s="847"/>
      <c r="Z112" s="848"/>
      <c r="AA112" s="848"/>
      <c r="AB112" s="848"/>
      <c r="AC112" s="849"/>
      <c r="AD112" s="849"/>
      <c r="AE112" s="849"/>
      <c r="AF112" s="849"/>
      <c r="AG112" s="849"/>
      <c r="AH112" s="851"/>
      <c r="AI112" s="851"/>
      <c r="AJ112" s="851"/>
      <c r="AK112" s="853"/>
      <c r="AL112" s="853"/>
      <c r="AM112" s="853"/>
      <c r="AN112" s="853"/>
      <c r="AO112" s="853"/>
      <c r="AP112" s="853"/>
      <c r="AQ112" s="853"/>
      <c r="AR112" s="853"/>
      <c r="AS112" s="848"/>
      <c r="AT112" s="848"/>
      <c r="AU112" s="854"/>
      <c r="AV112" s="854"/>
      <c r="AW112" s="854"/>
      <c r="AX112" s="854"/>
      <c r="AY112" s="854"/>
      <c r="AZ112" s="854"/>
      <c r="BA112" s="854"/>
      <c r="BB112" s="854"/>
      <c r="BC112" s="854"/>
      <c r="BD112" s="854"/>
      <c r="BE112" s="854"/>
      <c r="BF112" s="854"/>
      <c r="BG112" s="854"/>
      <c r="BH112" s="854"/>
      <c r="BI112" s="854"/>
      <c r="BJ112" s="854"/>
      <c r="BK112" s="854"/>
      <c r="BL112" s="854"/>
      <c r="BM112" s="854"/>
      <c r="BN112" s="854"/>
      <c r="BO112" s="854"/>
      <c r="BP112" s="854"/>
      <c r="BQ112" s="854"/>
      <c r="BR112" s="848"/>
      <c r="BS112" s="848"/>
      <c r="BT112" s="848"/>
      <c r="BU112" s="848"/>
      <c r="BV112" s="848"/>
      <c r="BW112" s="848"/>
      <c r="BX112" s="848"/>
      <c r="BY112" s="848"/>
      <c r="BZ112" s="848"/>
      <c r="CA112" s="847"/>
      <c r="CB112" s="823"/>
      <c r="CC112" s="823"/>
      <c r="CD112" s="823"/>
      <c r="CE112" s="823"/>
      <c r="CF112" s="823"/>
      <c r="CG112" s="823"/>
      <c r="CH112" s="823"/>
      <c r="CI112" s="823"/>
    </row>
    <row r="113" spans="1:87" ht="9.9499999999999993" customHeight="1">
      <c r="A113" s="844"/>
      <c r="B113" s="844"/>
      <c r="C113" s="844"/>
      <c r="D113" s="832"/>
      <c r="E113" s="832"/>
      <c r="F113" s="832"/>
      <c r="G113" s="845"/>
      <c r="H113" s="845"/>
      <c r="I113" s="841"/>
      <c r="J113" s="841"/>
      <c r="K113" s="841"/>
      <c r="L113" s="841"/>
      <c r="M113" s="841"/>
      <c r="N113" s="841"/>
      <c r="O113" s="841"/>
      <c r="P113" s="841"/>
      <c r="Q113" s="841"/>
      <c r="R113" s="841"/>
      <c r="S113" s="841"/>
      <c r="T113" s="841"/>
      <c r="U113" s="841"/>
      <c r="V113" s="841"/>
      <c r="W113" s="841"/>
      <c r="X113" s="847"/>
      <c r="Y113" s="847"/>
      <c r="Z113" s="848"/>
      <c r="AA113" s="848"/>
      <c r="AB113" s="848"/>
      <c r="AC113" s="849"/>
      <c r="AD113" s="849"/>
      <c r="AE113" s="849"/>
      <c r="AF113" s="849"/>
      <c r="AG113" s="849"/>
      <c r="AH113" s="851"/>
      <c r="AI113" s="851"/>
      <c r="AJ113" s="851"/>
      <c r="AK113" s="853"/>
      <c r="AL113" s="853"/>
      <c r="AM113" s="853"/>
      <c r="AN113" s="853"/>
      <c r="AO113" s="853"/>
      <c r="AP113" s="853"/>
      <c r="AQ113" s="853"/>
      <c r="AR113" s="853"/>
      <c r="AS113" s="848"/>
      <c r="AT113" s="848"/>
      <c r="AU113" s="854"/>
      <c r="AV113" s="854"/>
      <c r="AW113" s="854"/>
      <c r="AX113" s="854"/>
      <c r="AY113" s="854"/>
      <c r="AZ113" s="854"/>
      <c r="BA113" s="854"/>
      <c r="BB113" s="854"/>
      <c r="BC113" s="854"/>
      <c r="BD113" s="854"/>
      <c r="BE113" s="854"/>
      <c r="BF113" s="854"/>
      <c r="BG113" s="854"/>
      <c r="BH113" s="854"/>
      <c r="BI113" s="854"/>
      <c r="BJ113" s="854"/>
      <c r="BK113" s="854"/>
      <c r="BL113" s="854"/>
      <c r="BM113" s="854"/>
      <c r="BN113" s="854"/>
      <c r="BO113" s="854"/>
      <c r="BP113" s="854"/>
      <c r="BQ113" s="854"/>
      <c r="BR113" s="848"/>
      <c r="BS113" s="848"/>
      <c r="BT113" s="848"/>
      <c r="BU113" s="848"/>
      <c r="BV113" s="848"/>
      <c r="BW113" s="848"/>
      <c r="BX113" s="848"/>
      <c r="BY113" s="848"/>
      <c r="BZ113" s="848"/>
      <c r="CA113" s="832"/>
      <c r="CB113" s="823"/>
      <c r="CC113" s="823"/>
      <c r="CD113" s="823"/>
      <c r="CE113" s="823"/>
      <c r="CF113" s="823"/>
      <c r="CG113" s="823"/>
      <c r="CH113" s="823"/>
      <c r="CI113" s="823"/>
    </row>
    <row r="114" spans="1:87" ht="9.9499999999999993" customHeight="1">
      <c r="A114" s="832"/>
      <c r="B114" s="832"/>
      <c r="C114" s="832"/>
      <c r="D114" s="832"/>
      <c r="E114" s="832"/>
      <c r="F114" s="832"/>
      <c r="G114" s="845"/>
      <c r="H114" s="845"/>
      <c r="I114" s="841"/>
      <c r="J114" s="841"/>
      <c r="K114" s="841"/>
      <c r="L114" s="841"/>
      <c r="M114" s="841"/>
      <c r="N114" s="841"/>
      <c r="O114" s="841"/>
      <c r="P114" s="841"/>
      <c r="Q114" s="841"/>
      <c r="R114" s="841"/>
      <c r="S114" s="841"/>
      <c r="T114" s="841"/>
      <c r="U114" s="841"/>
      <c r="V114" s="841"/>
      <c r="W114" s="841"/>
      <c r="X114" s="846"/>
      <c r="Y114" s="846"/>
      <c r="Z114" s="848"/>
      <c r="AA114" s="848"/>
      <c r="AB114" s="848"/>
      <c r="AC114" s="849"/>
      <c r="AD114" s="849"/>
      <c r="AE114" s="849"/>
      <c r="AF114" s="849"/>
      <c r="AG114" s="849"/>
      <c r="AH114" s="851"/>
      <c r="AI114" s="851"/>
      <c r="AJ114" s="851"/>
      <c r="AK114" s="853"/>
      <c r="AL114" s="853"/>
      <c r="AM114" s="853"/>
      <c r="AN114" s="853"/>
      <c r="AO114" s="853"/>
      <c r="AP114" s="853"/>
      <c r="AQ114" s="853"/>
      <c r="AR114" s="853"/>
      <c r="AS114" s="848"/>
      <c r="AT114" s="848"/>
      <c r="AU114" s="854"/>
      <c r="AV114" s="854"/>
      <c r="AW114" s="854"/>
      <c r="AX114" s="854"/>
      <c r="AY114" s="854"/>
      <c r="AZ114" s="854"/>
      <c r="BA114" s="854"/>
      <c r="BB114" s="854"/>
      <c r="BC114" s="854"/>
      <c r="BD114" s="854"/>
      <c r="BE114" s="854"/>
      <c r="BF114" s="854"/>
      <c r="BG114" s="854"/>
      <c r="BH114" s="854"/>
      <c r="BI114" s="854"/>
      <c r="BJ114" s="854"/>
      <c r="BK114" s="854"/>
      <c r="BL114" s="854"/>
      <c r="BM114" s="854"/>
      <c r="BN114" s="854"/>
      <c r="BO114" s="854"/>
      <c r="BP114" s="854"/>
      <c r="BQ114" s="854"/>
      <c r="BR114" s="848"/>
      <c r="BS114" s="848"/>
      <c r="BT114" s="848"/>
      <c r="BU114" s="848"/>
      <c r="BV114" s="848"/>
      <c r="BW114" s="848"/>
      <c r="BX114" s="848"/>
      <c r="BY114" s="848"/>
      <c r="BZ114" s="848"/>
      <c r="CA114" s="832"/>
      <c r="CB114" s="823"/>
      <c r="CC114" s="823"/>
      <c r="CD114" s="823"/>
      <c r="CE114" s="823"/>
      <c r="CF114" s="823"/>
      <c r="CG114" s="823"/>
      <c r="CH114" s="823"/>
      <c r="CI114" s="823"/>
    </row>
    <row r="115" spans="1:87" ht="9.9499999999999993" customHeight="1">
      <c r="A115" s="832"/>
      <c r="B115" s="832"/>
      <c r="C115" s="832"/>
      <c r="D115" s="832"/>
      <c r="E115" s="832"/>
      <c r="F115" s="832"/>
      <c r="G115" s="845"/>
      <c r="H115" s="845"/>
      <c r="I115" s="841"/>
      <c r="J115" s="841"/>
      <c r="K115" s="841"/>
      <c r="L115" s="841"/>
      <c r="M115" s="841"/>
      <c r="N115" s="841"/>
      <c r="O115" s="841"/>
      <c r="P115" s="841"/>
      <c r="Q115" s="841"/>
      <c r="R115" s="841"/>
      <c r="S115" s="841"/>
      <c r="T115" s="841"/>
      <c r="U115" s="841"/>
      <c r="V115" s="841"/>
      <c r="W115" s="841"/>
      <c r="X115" s="847"/>
      <c r="Y115" s="847"/>
      <c r="Z115" s="848"/>
      <c r="AA115" s="848"/>
      <c r="AB115" s="848"/>
      <c r="AC115" s="849"/>
      <c r="AD115" s="849"/>
      <c r="AE115" s="849"/>
      <c r="AF115" s="849"/>
      <c r="AG115" s="849"/>
      <c r="AH115" s="851"/>
      <c r="AI115" s="851"/>
      <c r="AJ115" s="851"/>
      <c r="AK115" s="853"/>
      <c r="AL115" s="853"/>
      <c r="AM115" s="853"/>
      <c r="AN115" s="853"/>
      <c r="AO115" s="853"/>
      <c r="AP115" s="853"/>
      <c r="AQ115" s="853"/>
      <c r="AR115" s="853"/>
      <c r="AS115" s="848"/>
      <c r="AT115" s="848"/>
      <c r="AU115" s="854"/>
      <c r="AV115" s="854"/>
      <c r="AW115" s="854"/>
      <c r="AX115" s="854"/>
      <c r="AY115" s="854"/>
      <c r="AZ115" s="854"/>
      <c r="BA115" s="854"/>
      <c r="BB115" s="854"/>
      <c r="BC115" s="854"/>
      <c r="BD115" s="854"/>
      <c r="BE115" s="854"/>
      <c r="BF115" s="854"/>
      <c r="BG115" s="854"/>
      <c r="BH115" s="854"/>
      <c r="BI115" s="854"/>
      <c r="BJ115" s="854"/>
      <c r="BK115" s="854"/>
      <c r="BL115" s="854"/>
      <c r="BM115" s="854"/>
      <c r="BN115" s="854"/>
      <c r="BO115" s="854"/>
      <c r="BP115" s="854"/>
      <c r="BQ115" s="854"/>
      <c r="BR115" s="848"/>
      <c r="BS115" s="848"/>
      <c r="BT115" s="848"/>
      <c r="BU115" s="848"/>
      <c r="BV115" s="848"/>
      <c r="BW115" s="848"/>
      <c r="BX115" s="848"/>
      <c r="BY115" s="848"/>
      <c r="BZ115" s="848"/>
      <c r="CA115" s="847"/>
      <c r="CB115" s="823"/>
      <c r="CC115" s="823"/>
      <c r="CD115" s="823"/>
      <c r="CE115" s="823"/>
      <c r="CF115" s="823"/>
      <c r="CG115" s="823"/>
      <c r="CH115" s="823"/>
      <c r="CI115" s="823"/>
    </row>
    <row r="116" spans="1:87" ht="9.9499999999999993" customHeight="1">
      <c r="A116" s="832"/>
      <c r="B116" s="832"/>
      <c r="C116" s="832"/>
      <c r="D116" s="832"/>
      <c r="E116" s="832"/>
      <c r="F116" s="832"/>
      <c r="G116" s="845"/>
      <c r="H116" s="845"/>
      <c r="I116" s="841"/>
      <c r="J116" s="841"/>
      <c r="K116" s="841"/>
      <c r="L116" s="841"/>
      <c r="M116" s="841"/>
      <c r="N116" s="841"/>
      <c r="O116" s="841"/>
      <c r="P116" s="841"/>
      <c r="Q116" s="841"/>
      <c r="R116" s="841"/>
      <c r="S116" s="841"/>
      <c r="T116" s="841"/>
      <c r="U116" s="841"/>
      <c r="V116" s="841"/>
      <c r="W116" s="841"/>
      <c r="X116" s="847"/>
      <c r="Y116" s="847"/>
      <c r="Z116" s="848"/>
      <c r="AA116" s="848"/>
      <c r="AB116" s="848"/>
      <c r="AC116" s="849"/>
      <c r="AD116" s="849"/>
      <c r="AE116" s="849"/>
      <c r="AF116" s="849"/>
      <c r="AG116" s="849"/>
      <c r="AH116" s="851"/>
      <c r="AI116" s="851"/>
      <c r="AJ116" s="851"/>
      <c r="AK116" s="853"/>
      <c r="AL116" s="853"/>
      <c r="AM116" s="853"/>
      <c r="AN116" s="853"/>
      <c r="AO116" s="853"/>
      <c r="AP116" s="853"/>
      <c r="AQ116" s="853"/>
      <c r="AR116" s="853"/>
      <c r="AS116" s="848"/>
      <c r="AT116" s="848"/>
      <c r="AU116" s="854"/>
      <c r="AV116" s="854"/>
      <c r="AW116" s="854"/>
      <c r="AX116" s="854"/>
      <c r="AY116" s="854"/>
      <c r="AZ116" s="854"/>
      <c r="BA116" s="854"/>
      <c r="BB116" s="854"/>
      <c r="BC116" s="854"/>
      <c r="BD116" s="854"/>
      <c r="BE116" s="854"/>
      <c r="BF116" s="854"/>
      <c r="BG116" s="854"/>
      <c r="BH116" s="854"/>
      <c r="BI116" s="854"/>
      <c r="BJ116" s="854"/>
      <c r="BK116" s="854"/>
      <c r="BL116" s="854"/>
      <c r="BM116" s="854"/>
      <c r="BN116" s="854"/>
      <c r="BO116" s="854"/>
      <c r="BP116" s="854"/>
      <c r="BQ116" s="854"/>
      <c r="BR116" s="848"/>
      <c r="BS116" s="848"/>
      <c r="BT116" s="848"/>
      <c r="BU116" s="848"/>
      <c r="BV116" s="848"/>
      <c r="BW116" s="848"/>
      <c r="BX116" s="848"/>
      <c r="BY116" s="848"/>
      <c r="BZ116" s="848"/>
      <c r="CA116" s="847"/>
      <c r="CB116" s="823"/>
      <c r="CC116" s="823"/>
      <c r="CD116" s="823"/>
      <c r="CE116" s="823"/>
      <c r="CF116" s="823"/>
      <c r="CG116" s="823"/>
      <c r="CH116" s="823"/>
      <c r="CI116" s="823"/>
    </row>
    <row r="117" spans="1:87" ht="9.9499999999999993" customHeight="1">
      <c r="A117" s="844"/>
      <c r="B117" s="844"/>
      <c r="C117" s="844"/>
      <c r="D117" s="832"/>
      <c r="E117" s="832"/>
      <c r="F117" s="832"/>
      <c r="G117" s="845"/>
      <c r="H117" s="845"/>
      <c r="I117" s="841"/>
      <c r="J117" s="841"/>
      <c r="K117" s="841"/>
      <c r="L117" s="841"/>
      <c r="M117" s="841"/>
      <c r="N117" s="841"/>
      <c r="O117" s="841"/>
      <c r="P117" s="841"/>
      <c r="Q117" s="841"/>
      <c r="R117" s="841"/>
      <c r="S117" s="841"/>
      <c r="T117" s="841"/>
      <c r="U117" s="841"/>
      <c r="V117" s="841"/>
      <c r="W117" s="841"/>
      <c r="X117" s="847"/>
      <c r="Y117" s="847"/>
      <c r="Z117" s="848"/>
      <c r="AA117" s="848"/>
      <c r="AB117" s="848"/>
      <c r="AC117" s="849"/>
      <c r="AD117" s="849"/>
      <c r="AE117" s="849"/>
      <c r="AF117" s="849"/>
      <c r="AG117" s="849"/>
      <c r="AH117" s="851"/>
      <c r="AI117" s="851"/>
      <c r="AJ117" s="851"/>
      <c r="AK117" s="853"/>
      <c r="AL117" s="853"/>
      <c r="AM117" s="853"/>
      <c r="AN117" s="853"/>
      <c r="AO117" s="853"/>
      <c r="AP117" s="853"/>
      <c r="AQ117" s="853"/>
      <c r="AR117" s="853"/>
      <c r="AS117" s="848"/>
      <c r="AT117" s="848"/>
      <c r="AU117" s="854"/>
      <c r="AV117" s="854"/>
      <c r="AW117" s="854"/>
      <c r="AX117" s="854"/>
      <c r="AY117" s="854"/>
      <c r="AZ117" s="854"/>
      <c r="BA117" s="854"/>
      <c r="BB117" s="854"/>
      <c r="BC117" s="854"/>
      <c r="BD117" s="854"/>
      <c r="BE117" s="854"/>
      <c r="BF117" s="854"/>
      <c r="BG117" s="854"/>
      <c r="BH117" s="854"/>
      <c r="BI117" s="854"/>
      <c r="BJ117" s="854"/>
      <c r="BK117" s="854"/>
      <c r="BL117" s="854"/>
      <c r="BM117" s="854"/>
      <c r="BN117" s="854"/>
      <c r="BO117" s="854"/>
      <c r="BP117" s="854"/>
      <c r="BQ117" s="854"/>
      <c r="BR117" s="848"/>
      <c r="BS117" s="848"/>
      <c r="BT117" s="848"/>
      <c r="BU117" s="848"/>
      <c r="BV117" s="848"/>
      <c r="BW117" s="848"/>
      <c r="BX117" s="848"/>
      <c r="BY117" s="848"/>
      <c r="BZ117" s="848"/>
      <c r="CA117" s="847"/>
      <c r="CB117" s="823"/>
      <c r="CC117" s="823"/>
      <c r="CD117" s="823"/>
      <c r="CE117" s="823"/>
      <c r="CF117" s="823"/>
      <c r="CG117" s="823"/>
      <c r="CH117" s="823"/>
      <c r="CI117" s="823"/>
    </row>
    <row r="118" spans="1:87" ht="9.9499999999999993" customHeight="1">
      <c r="A118" s="844"/>
      <c r="B118" s="844"/>
      <c r="C118" s="844"/>
      <c r="D118" s="832"/>
      <c r="E118" s="832"/>
      <c r="F118" s="832"/>
      <c r="G118" s="845"/>
      <c r="H118" s="845"/>
      <c r="I118" s="841"/>
      <c r="J118" s="841"/>
      <c r="K118" s="841"/>
      <c r="L118" s="841"/>
      <c r="M118" s="841"/>
      <c r="N118" s="841"/>
      <c r="O118" s="841"/>
      <c r="P118" s="841"/>
      <c r="Q118" s="841"/>
      <c r="R118" s="841"/>
      <c r="S118" s="841"/>
      <c r="T118" s="841"/>
      <c r="U118" s="841"/>
      <c r="V118" s="841"/>
      <c r="W118" s="841"/>
      <c r="X118" s="846"/>
      <c r="Y118" s="846"/>
      <c r="Z118" s="848"/>
      <c r="AA118" s="848"/>
      <c r="AB118" s="848"/>
      <c r="AC118" s="849"/>
      <c r="AD118" s="849"/>
      <c r="AE118" s="849"/>
      <c r="AF118" s="849"/>
      <c r="AG118" s="849"/>
      <c r="AH118" s="851"/>
      <c r="AI118" s="851"/>
      <c r="AJ118" s="851"/>
      <c r="AK118" s="853"/>
      <c r="AL118" s="853"/>
      <c r="AM118" s="853"/>
      <c r="AN118" s="853"/>
      <c r="AO118" s="853"/>
      <c r="AP118" s="853"/>
      <c r="AQ118" s="853"/>
      <c r="AR118" s="853"/>
      <c r="AS118" s="848"/>
      <c r="AT118" s="848"/>
      <c r="AU118" s="854"/>
      <c r="AV118" s="854"/>
      <c r="AW118" s="854"/>
      <c r="AX118" s="854"/>
      <c r="AY118" s="854"/>
      <c r="AZ118" s="854"/>
      <c r="BA118" s="854"/>
      <c r="BB118" s="854"/>
      <c r="BC118" s="854"/>
      <c r="BD118" s="854"/>
      <c r="BE118" s="854"/>
      <c r="BF118" s="854"/>
      <c r="BG118" s="854"/>
      <c r="BH118" s="854"/>
      <c r="BI118" s="854"/>
      <c r="BJ118" s="854"/>
      <c r="BK118" s="854"/>
      <c r="BL118" s="854"/>
      <c r="BM118" s="854"/>
      <c r="BN118" s="854"/>
      <c r="BO118" s="854"/>
      <c r="BP118" s="854"/>
      <c r="BQ118" s="854"/>
      <c r="BR118" s="848"/>
      <c r="BS118" s="848"/>
      <c r="BT118" s="848"/>
      <c r="BU118" s="848"/>
      <c r="BV118" s="848"/>
      <c r="BW118" s="848"/>
      <c r="BX118" s="848"/>
      <c r="BY118" s="848"/>
      <c r="BZ118" s="848"/>
      <c r="CA118" s="846"/>
      <c r="CB118" s="823"/>
      <c r="CC118" s="823"/>
      <c r="CD118" s="823"/>
      <c r="CE118" s="823"/>
      <c r="CF118" s="823"/>
      <c r="CG118" s="823"/>
      <c r="CH118" s="823"/>
      <c r="CI118" s="823"/>
    </row>
    <row r="119" spans="1:87" ht="9.9499999999999993" customHeight="1">
      <c r="A119" s="844"/>
      <c r="B119" s="844"/>
      <c r="C119" s="844"/>
      <c r="D119" s="832"/>
      <c r="E119" s="832"/>
      <c r="F119" s="832"/>
      <c r="G119" s="845"/>
      <c r="H119" s="845"/>
      <c r="I119" s="841"/>
      <c r="J119" s="841"/>
      <c r="K119" s="841"/>
      <c r="L119" s="841"/>
      <c r="M119" s="841"/>
      <c r="N119" s="841"/>
      <c r="O119" s="841"/>
      <c r="P119" s="841"/>
      <c r="Q119" s="841"/>
      <c r="R119" s="841"/>
      <c r="S119" s="841"/>
      <c r="T119" s="841"/>
      <c r="U119" s="841"/>
      <c r="V119" s="841"/>
      <c r="W119" s="841"/>
      <c r="X119" s="847"/>
      <c r="Y119" s="847"/>
      <c r="Z119" s="847"/>
      <c r="AA119" s="847"/>
      <c r="AB119" s="847"/>
      <c r="AC119" s="849"/>
      <c r="AD119" s="849"/>
      <c r="AE119" s="849"/>
      <c r="AF119" s="849"/>
      <c r="AG119" s="849"/>
      <c r="AH119" s="511"/>
      <c r="AI119" s="511"/>
      <c r="AJ119" s="511"/>
      <c r="AK119" s="849"/>
      <c r="AL119" s="849"/>
      <c r="AM119" s="849"/>
      <c r="AN119" s="849"/>
      <c r="AO119" s="849"/>
      <c r="AP119" s="849"/>
      <c r="AQ119" s="849"/>
      <c r="AR119" s="849"/>
      <c r="AS119" s="847"/>
      <c r="AT119" s="847"/>
      <c r="AU119" s="847"/>
      <c r="AV119" s="847"/>
      <c r="AW119" s="847"/>
      <c r="AX119" s="847"/>
      <c r="AY119" s="847"/>
      <c r="AZ119" s="847"/>
      <c r="BA119" s="847"/>
      <c r="BB119" s="847"/>
      <c r="BC119" s="847"/>
      <c r="BD119" s="847"/>
      <c r="BE119" s="847"/>
      <c r="BF119" s="847"/>
      <c r="BG119" s="847"/>
      <c r="BH119" s="847"/>
      <c r="BI119" s="847"/>
      <c r="BJ119" s="847"/>
      <c r="BK119" s="847"/>
      <c r="BL119" s="847"/>
      <c r="BM119" s="847"/>
      <c r="BN119" s="847"/>
      <c r="BO119" s="847"/>
      <c r="BP119" s="847"/>
      <c r="BQ119" s="847"/>
      <c r="BR119" s="847"/>
      <c r="BS119" s="847"/>
      <c r="BT119" s="847"/>
      <c r="BU119" s="847"/>
      <c r="BV119" s="847"/>
      <c r="BW119" s="847"/>
      <c r="BX119" s="847"/>
      <c r="BY119" s="847"/>
      <c r="BZ119" s="847"/>
      <c r="CA119" s="847"/>
      <c r="CB119" s="823"/>
      <c r="CC119" s="823"/>
      <c r="CD119" s="823"/>
      <c r="CE119" s="823"/>
      <c r="CF119" s="823"/>
      <c r="CG119" s="823"/>
      <c r="CH119" s="823"/>
      <c r="CI119" s="823"/>
    </row>
    <row r="120" spans="1:87" ht="9.9499999999999993" customHeight="1">
      <c r="A120" s="855"/>
      <c r="B120" s="855"/>
      <c r="C120" s="855"/>
      <c r="D120" s="832"/>
      <c r="E120" s="832"/>
      <c r="F120" s="832"/>
      <c r="G120" s="845"/>
      <c r="H120" s="845"/>
      <c r="I120" s="841"/>
      <c r="J120" s="841"/>
      <c r="K120" s="841"/>
      <c r="L120" s="841"/>
      <c r="M120" s="841"/>
      <c r="N120" s="841"/>
      <c r="O120" s="841"/>
      <c r="P120" s="841"/>
      <c r="Q120" s="841"/>
      <c r="R120" s="841"/>
      <c r="S120" s="841"/>
      <c r="T120" s="841"/>
      <c r="U120" s="841"/>
      <c r="V120" s="841"/>
      <c r="W120" s="841"/>
      <c r="X120" s="847"/>
      <c r="Y120" s="847"/>
      <c r="Z120" s="847"/>
      <c r="AA120" s="847"/>
      <c r="AB120" s="847"/>
      <c r="AC120" s="849"/>
      <c r="AD120" s="849"/>
      <c r="AE120" s="849"/>
      <c r="AF120" s="849"/>
      <c r="AG120" s="849"/>
      <c r="AH120" s="511"/>
      <c r="AI120" s="511"/>
      <c r="AJ120" s="511"/>
      <c r="AK120" s="849"/>
      <c r="AL120" s="849"/>
      <c r="AM120" s="849"/>
      <c r="AN120" s="849"/>
      <c r="AO120" s="849"/>
      <c r="AP120" s="849"/>
      <c r="AQ120" s="849"/>
      <c r="AR120" s="849"/>
      <c r="AS120" s="847"/>
      <c r="AT120" s="847"/>
      <c r="AU120" s="847"/>
      <c r="AV120" s="847"/>
      <c r="AW120" s="847"/>
      <c r="AX120" s="847"/>
      <c r="AY120" s="847"/>
      <c r="AZ120" s="847"/>
      <c r="BA120" s="847"/>
      <c r="BB120" s="847"/>
      <c r="BC120" s="847"/>
      <c r="BD120" s="847"/>
      <c r="BE120" s="847"/>
      <c r="BF120" s="847"/>
      <c r="BG120" s="847"/>
      <c r="BH120" s="847"/>
      <c r="BI120" s="847"/>
      <c r="BJ120" s="847"/>
      <c r="BK120" s="847"/>
      <c r="BL120" s="847"/>
      <c r="BM120" s="847"/>
      <c r="BN120" s="847"/>
      <c r="BO120" s="847"/>
      <c r="BP120" s="847"/>
      <c r="BQ120" s="847"/>
      <c r="BR120" s="847"/>
      <c r="BS120" s="847"/>
      <c r="BT120" s="847"/>
      <c r="BU120" s="847"/>
      <c r="BV120" s="847"/>
      <c r="BW120" s="848"/>
      <c r="BX120" s="848"/>
      <c r="BY120" s="848"/>
      <c r="BZ120" s="848"/>
      <c r="CA120" s="847"/>
      <c r="CB120" s="823"/>
      <c r="CC120" s="823"/>
      <c r="CD120" s="823"/>
      <c r="CE120" s="823"/>
      <c r="CF120" s="823"/>
      <c r="CG120" s="823"/>
      <c r="CH120" s="823"/>
      <c r="CI120" s="823"/>
    </row>
    <row r="121" spans="1:87" ht="9.9499999999999993" customHeight="1">
      <c r="A121" s="855"/>
      <c r="B121" s="855"/>
      <c r="C121" s="855"/>
      <c r="D121" s="832"/>
      <c r="E121" s="832"/>
      <c r="F121" s="832"/>
      <c r="G121" s="845"/>
      <c r="H121" s="845"/>
      <c r="I121" s="841"/>
      <c r="J121" s="841"/>
      <c r="K121" s="841"/>
      <c r="L121" s="841"/>
      <c r="M121" s="841"/>
      <c r="N121" s="841"/>
      <c r="O121" s="841"/>
      <c r="P121" s="841"/>
      <c r="Q121" s="841"/>
      <c r="R121" s="841"/>
      <c r="S121" s="841"/>
      <c r="T121" s="841"/>
      <c r="U121" s="841"/>
      <c r="V121" s="841"/>
      <c r="W121" s="841"/>
      <c r="X121" s="847"/>
      <c r="Y121" s="847"/>
      <c r="Z121" s="847"/>
      <c r="AA121" s="847"/>
      <c r="AB121" s="847"/>
      <c r="AC121" s="849"/>
      <c r="AD121" s="849"/>
      <c r="AE121" s="849"/>
      <c r="AF121" s="849"/>
      <c r="AG121" s="849"/>
      <c r="AH121" s="511"/>
      <c r="AI121" s="511"/>
      <c r="AJ121" s="511"/>
      <c r="AK121" s="849"/>
      <c r="AL121" s="849"/>
      <c r="AM121" s="849"/>
      <c r="AN121" s="849"/>
      <c r="AO121" s="849"/>
      <c r="AP121" s="849"/>
      <c r="AQ121" s="849"/>
      <c r="AR121" s="849"/>
      <c r="AS121" s="847"/>
      <c r="AT121" s="847"/>
      <c r="AU121" s="856"/>
      <c r="AV121" s="856"/>
      <c r="AW121" s="856"/>
      <c r="AX121" s="856"/>
      <c r="AY121" s="856"/>
      <c r="AZ121" s="856"/>
      <c r="BA121" s="856"/>
      <c r="BB121" s="856"/>
      <c r="BC121" s="856"/>
      <c r="BD121" s="856"/>
      <c r="BE121" s="856"/>
      <c r="BF121" s="856"/>
      <c r="BG121" s="856"/>
      <c r="BH121" s="856"/>
      <c r="BI121" s="856"/>
      <c r="BJ121" s="856"/>
      <c r="BK121" s="856"/>
      <c r="BL121" s="856"/>
      <c r="BM121" s="856"/>
      <c r="BN121" s="856"/>
      <c r="BO121" s="856"/>
      <c r="BP121" s="856"/>
      <c r="BQ121" s="856"/>
      <c r="BR121" s="856"/>
      <c r="BS121" s="856"/>
      <c r="BT121" s="856"/>
      <c r="BU121" s="856"/>
      <c r="BV121" s="856"/>
      <c r="BW121" s="856"/>
      <c r="BX121" s="856"/>
      <c r="BY121" s="848"/>
      <c r="BZ121" s="848"/>
      <c r="CA121" s="832"/>
      <c r="CB121" s="823"/>
      <c r="CC121" s="823"/>
      <c r="CD121" s="823"/>
      <c r="CE121" s="823"/>
      <c r="CF121" s="823"/>
      <c r="CG121" s="823"/>
      <c r="CH121" s="823"/>
      <c r="CI121" s="856" t="s">
        <v>82</v>
      </c>
    </row>
    <row r="122" spans="1:87" ht="9.9499999999999993" customHeight="1">
      <c r="A122" s="855"/>
      <c r="B122" s="855"/>
      <c r="C122" s="855"/>
      <c r="D122" s="832"/>
      <c r="E122" s="832"/>
      <c r="F122" s="832"/>
      <c r="G122" s="845"/>
      <c r="H122" s="845"/>
      <c r="I122" s="841"/>
      <c r="J122" s="841"/>
      <c r="K122" s="841"/>
      <c r="L122" s="841"/>
      <c r="M122" s="841"/>
      <c r="N122" s="841"/>
      <c r="O122" s="841"/>
      <c r="P122" s="841"/>
      <c r="Q122" s="841"/>
      <c r="R122" s="841"/>
      <c r="S122" s="841"/>
      <c r="T122" s="841"/>
      <c r="U122" s="841"/>
      <c r="V122" s="841"/>
      <c r="W122" s="841"/>
      <c r="X122" s="846"/>
      <c r="Y122" s="846"/>
      <c r="Z122" s="846"/>
      <c r="AA122" s="846"/>
      <c r="AB122" s="846"/>
      <c r="AC122" s="849"/>
      <c r="AD122" s="849"/>
      <c r="AE122" s="849"/>
      <c r="AF122" s="849"/>
      <c r="AG122" s="849"/>
      <c r="AH122" s="511"/>
      <c r="AI122" s="511"/>
      <c r="AJ122" s="511"/>
      <c r="AK122" s="849"/>
      <c r="AL122" s="849"/>
      <c r="AM122" s="849"/>
      <c r="AN122" s="849"/>
      <c r="AO122" s="849"/>
      <c r="AP122" s="849"/>
      <c r="AQ122" s="849"/>
      <c r="AR122" s="849"/>
      <c r="AS122" s="846"/>
      <c r="AT122" s="846"/>
      <c r="AU122" s="856"/>
      <c r="AV122" s="856"/>
      <c r="AW122" s="856"/>
      <c r="AX122" s="856"/>
      <c r="AY122" s="856"/>
      <c r="AZ122" s="856"/>
      <c r="BA122" s="856"/>
      <c r="BB122" s="856"/>
      <c r="BC122" s="856"/>
      <c r="BD122" s="856"/>
      <c r="BE122" s="856"/>
      <c r="BF122" s="856"/>
      <c r="BG122" s="856"/>
      <c r="BH122" s="856"/>
      <c r="BI122" s="856"/>
      <c r="BJ122" s="856"/>
      <c r="BK122" s="856"/>
      <c r="BL122" s="856"/>
      <c r="BM122" s="856"/>
      <c r="BN122" s="856"/>
      <c r="BO122" s="856"/>
      <c r="BP122" s="856"/>
      <c r="BQ122" s="856"/>
      <c r="BR122" s="856"/>
      <c r="BS122" s="856"/>
      <c r="BT122" s="856"/>
      <c r="BU122" s="856"/>
      <c r="BV122" s="856"/>
      <c r="BW122" s="856"/>
      <c r="BX122" s="856"/>
      <c r="BY122" s="848"/>
      <c r="BZ122" s="848"/>
      <c r="CA122" s="832"/>
      <c r="CB122" s="823"/>
      <c r="CC122" s="823"/>
      <c r="CD122" s="823"/>
      <c r="CE122" s="823"/>
      <c r="CF122" s="823"/>
      <c r="CG122" s="823"/>
      <c r="CH122" s="823"/>
      <c r="CI122" s="823"/>
    </row>
    <row r="123" spans="1:87" ht="9.9499999999999993" customHeight="1">
      <c r="A123" s="855"/>
      <c r="B123" s="855"/>
      <c r="C123" s="855"/>
      <c r="D123" s="832"/>
      <c r="E123" s="832"/>
      <c r="F123" s="832"/>
      <c r="G123" s="845"/>
      <c r="H123" s="845"/>
      <c r="I123" s="841"/>
      <c r="J123" s="841"/>
      <c r="K123" s="841"/>
      <c r="L123" s="841"/>
      <c r="M123" s="841"/>
      <c r="N123" s="841"/>
      <c r="O123" s="841"/>
      <c r="P123" s="841"/>
      <c r="Q123" s="841"/>
      <c r="R123" s="841"/>
      <c r="S123" s="841"/>
      <c r="T123" s="841"/>
      <c r="U123" s="841"/>
      <c r="V123" s="841"/>
      <c r="W123" s="841"/>
      <c r="X123" s="847"/>
      <c r="Y123" s="847"/>
      <c r="Z123" s="847"/>
      <c r="AA123" s="847"/>
      <c r="AB123" s="847"/>
      <c r="AC123" s="849"/>
      <c r="AD123" s="849"/>
      <c r="AE123" s="849"/>
      <c r="AF123" s="849"/>
      <c r="AG123" s="849"/>
      <c r="AH123" s="511"/>
      <c r="AI123" s="511"/>
      <c r="AJ123" s="511"/>
      <c r="AK123" s="849"/>
      <c r="AL123" s="849"/>
      <c r="AM123" s="849"/>
      <c r="AN123" s="849"/>
      <c r="AO123" s="849"/>
      <c r="AP123" s="849"/>
      <c r="AQ123" s="849"/>
      <c r="AR123" s="849"/>
      <c r="AS123" s="847"/>
      <c r="AT123" s="847"/>
      <c r="AU123" s="856"/>
      <c r="AV123" s="856"/>
      <c r="AW123" s="856"/>
      <c r="AX123" s="856"/>
      <c r="AY123" s="856"/>
      <c r="AZ123" s="856"/>
      <c r="BA123" s="856"/>
      <c r="BB123" s="856"/>
      <c r="BC123" s="856"/>
      <c r="BD123" s="856"/>
      <c r="BE123" s="856"/>
      <c r="BF123" s="856"/>
      <c r="BG123" s="856"/>
      <c r="BH123" s="856"/>
      <c r="BI123" s="856"/>
      <c r="BJ123" s="856"/>
      <c r="BK123" s="856"/>
      <c r="BL123" s="856"/>
      <c r="BM123" s="856"/>
      <c r="BN123" s="856"/>
      <c r="BO123" s="856"/>
      <c r="BP123" s="856"/>
      <c r="BQ123" s="856"/>
      <c r="BR123" s="856"/>
      <c r="BS123" s="856"/>
      <c r="BT123" s="856"/>
      <c r="BU123" s="856"/>
      <c r="BV123" s="856"/>
      <c r="BW123" s="856"/>
      <c r="BX123" s="856"/>
      <c r="BY123" s="848"/>
      <c r="BZ123" s="848"/>
      <c r="CA123" s="847"/>
      <c r="CB123" s="823"/>
      <c r="CC123" s="823"/>
      <c r="CD123" s="823"/>
      <c r="CE123" s="823"/>
      <c r="CF123" s="823"/>
      <c r="CG123" s="823"/>
      <c r="CH123" s="823"/>
      <c r="CI123" s="823"/>
    </row>
    <row r="124" spans="1:87" ht="9.9499999999999993" customHeight="1">
      <c r="A124" s="857"/>
      <c r="B124" s="857"/>
      <c r="C124" s="857"/>
      <c r="D124" s="832"/>
      <c r="E124" s="832"/>
      <c r="F124" s="832"/>
      <c r="G124" s="845"/>
      <c r="H124" s="845"/>
      <c r="I124" s="841"/>
      <c r="J124" s="841"/>
      <c r="K124" s="841"/>
      <c r="L124" s="841"/>
      <c r="M124" s="841"/>
      <c r="N124" s="841"/>
      <c r="O124" s="841"/>
      <c r="P124" s="841"/>
      <c r="Q124" s="841"/>
      <c r="R124" s="841"/>
      <c r="S124" s="841"/>
      <c r="T124" s="841"/>
      <c r="U124" s="841"/>
      <c r="V124" s="841"/>
      <c r="W124" s="841"/>
      <c r="X124" s="847"/>
      <c r="Y124" s="847"/>
      <c r="Z124" s="847"/>
      <c r="AA124" s="847"/>
      <c r="AB124" s="847"/>
      <c r="AC124" s="849"/>
      <c r="AD124" s="849"/>
      <c r="AE124" s="849"/>
      <c r="AF124" s="849"/>
      <c r="AG124" s="849"/>
      <c r="AH124" s="511"/>
      <c r="AI124" s="511"/>
      <c r="AJ124" s="511"/>
      <c r="AK124" s="849"/>
      <c r="AL124" s="849"/>
      <c r="AM124" s="849"/>
      <c r="AN124" s="849"/>
      <c r="AO124" s="849"/>
      <c r="AP124" s="849"/>
      <c r="AQ124" s="849"/>
      <c r="AR124" s="849"/>
      <c r="AS124" s="847"/>
      <c r="AT124" s="847"/>
      <c r="AU124" s="856"/>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6"/>
      <c r="BQ124" s="856"/>
      <c r="BR124" s="856"/>
      <c r="BS124" s="856"/>
      <c r="BT124" s="856"/>
      <c r="BU124" s="856"/>
      <c r="BV124" s="856"/>
      <c r="BW124" s="856"/>
      <c r="BX124" s="856"/>
      <c r="BY124" s="848"/>
      <c r="BZ124" s="848"/>
      <c r="CA124" s="847"/>
      <c r="CB124" s="823"/>
      <c r="CC124" s="823"/>
      <c r="CD124" s="823"/>
      <c r="CE124" s="823"/>
      <c r="CF124" s="823"/>
      <c r="CG124" s="823"/>
      <c r="CH124" s="823"/>
      <c r="CI124" s="823"/>
    </row>
    <row r="125" spans="1:87" ht="9.9499999999999993" customHeight="1">
      <c r="A125" s="857"/>
      <c r="B125" s="857"/>
      <c r="C125" s="857"/>
      <c r="D125" s="832"/>
      <c r="E125" s="832"/>
      <c r="F125" s="832"/>
      <c r="G125" s="845"/>
      <c r="H125" s="845"/>
      <c r="I125" s="845"/>
      <c r="J125" s="846"/>
      <c r="K125" s="846"/>
      <c r="L125" s="846"/>
      <c r="M125" s="847"/>
      <c r="N125" s="847"/>
      <c r="O125" s="847"/>
      <c r="P125" s="847"/>
      <c r="Q125" s="847"/>
      <c r="R125" s="847"/>
      <c r="S125" s="847"/>
      <c r="T125" s="847"/>
      <c r="U125" s="847"/>
      <c r="V125" s="847"/>
      <c r="W125" s="847"/>
      <c r="X125" s="847"/>
      <c r="Y125" s="847"/>
      <c r="Z125" s="847"/>
      <c r="AA125" s="847"/>
      <c r="AB125" s="847"/>
      <c r="AC125" s="849"/>
      <c r="AD125" s="849"/>
      <c r="AE125" s="849"/>
      <c r="AF125" s="849"/>
      <c r="AG125" s="849"/>
      <c r="AH125" s="511"/>
      <c r="AI125" s="511"/>
      <c r="AJ125" s="511"/>
      <c r="AK125" s="849"/>
      <c r="AL125" s="849"/>
      <c r="AM125" s="849"/>
      <c r="AN125" s="849"/>
      <c r="AO125" s="849"/>
      <c r="AP125" s="849"/>
      <c r="AQ125" s="849"/>
      <c r="AR125" s="849"/>
      <c r="AS125" s="847"/>
      <c r="AT125" s="847"/>
      <c r="AU125" s="856"/>
      <c r="AV125" s="856"/>
      <c r="AW125" s="856"/>
      <c r="AX125" s="856"/>
      <c r="AY125" s="856"/>
      <c r="AZ125" s="856"/>
      <c r="BA125" s="856"/>
      <c r="BB125" s="856"/>
      <c r="BC125" s="856"/>
      <c r="BD125" s="856"/>
      <c r="BE125" s="856"/>
      <c r="BF125" s="856"/>
      <c r="BG125" s="856"/>
      <c r="BH125" s="856"/>
      <c r="BI125" s="856"/>
      <c r="BJ125" s="856"/>
      <c r="BK125" s="856"/>
      <c r="BL125" s="856"/>
      <c r="BM125" s="856"/>
      <c r="BN125" s="856"/>
      <c r="BO125" s="856"/>
      <c r="BP125" s="856"/>
      <c r="BQ125" s="856"/>
      <c r="BR125" s="856"/>
      <c r="BS125" s="856"/>
      <c r="BT125" s="856"/>
      <c r="BU125" s="856"/>
      <c r="BV125" s="856"/>
      <c r="BW125" s="856"/>
      <c r="BX125" s="856"/>
      <c r="BY125" s="848"/>
      <c r="BZ125" s="848"/>
      <c r="CA125" s="847"/>
      <c r="CB125" s="823"/>
      <c r="CC125" s="823"/>
      <c r="CD125" s="823"/>
      <c r="CE125" s="823"/>
      <c r="CF125" s="823"/>
      <c r="CG125" s="823"/>
      <c r="CH125" s="823"/>
      <c r="CI125" s="823"/>
    </row>
    <row r="126" spans="1:87" ht="9.9499999999999993" customHeight="1">
      <c r="A126" s="855"/>
      <c r="B126" s="855"/>
      <c r="C126" s="855"/>
      <c r="D126" s="832"/>
      <c r="E126" s="832"/>
      <c r="F126" s="832"/>
      <c r="G126" s="845"/>
      <c r="H126" s="845"/>
      <c r="I126" s="845"/>
      <c r="J126" s="846"/>
      <c r="K126" s="846"/>
      <c r="L126" s="846"/>
      <c r="M126" s="846"/>
      <c r="N126" s="846"/>
      <c r="O126" s="846"/>
      <c r="P126" s="846"/>
      <c r="Q126" s="846"/>
      <c r="R126" s="846"/>
      <c r="S126" s="846"/>
      <c r="T126" s="846"/>
      <c r="U126" s="846"/>
      <c r="V126" s="846"/>
      <c r="W126" s="846"/>
      <c r="X126" s="846"/>
      <c r="Y126" s="846"/>
      <c r="Z126" s="846"/>
      <c r="AA126" s="846"/>
      <c r="AB126" s="846"/>
      <c r="AC126" s="849"/>
      <c r="AD126" s="849"/>
      <c r="AE126" s="849"/>
      <c r="AF126" s="849"/>
      <c r="AG126" s="849"/>
      <c r="AH126" s="511"/>
      <c r="AI126" s="511"/>
      <c r="AJ126" s="511"/>
      <c r="AK126" s="849"/>
      <c r="AL126" s="849"/>
      <c r="AM126" s="849"/>
      <c r="AN126" s="849"/>
      <c r="AO126" s="849"/>
      <c r="AP126" s="849"/>
      <c r="AQ126" s="849"/>
      <c r="AR126" s="849"/>
      <c r="AS126" s="846"/>
      <c r="AT126" s="846"/>
      <c r="AU126" s="856"/>
      <c r="AV126" s="856"/>
      <c r="AW126" s="856"/>
      <c r="AX126" s="856"/>
      <c r="AY126" s="856"/>
      <c r="AZ126" s="856"/>
      <c r="BA126" s="856"/>
      <c r="BB126" s="856"/>
      <c r="BC126" s="856"/>
      <c r="BD126" s="856"/>
      <c r="BE126" s="856"/>
      <c r="BF126" s="856"/>
      <c r="BG126" s="856"/>
      <c r="BH126" s="856"/>
      <c r="BI126" s="856"/>
      <c r="BJ126" s="856"/>
      <c r="BK126" s="856"/>
      <c r="BL126" s="856"/>
      <c r="BM126" s="856"/>
      <c r="BN126" s="856"/>
      <c r="BO126" s="856"/>
      <c r="BP126" s="856"/>
      <c r="BQ126" s="856"/>
      <c r="BR126" s="856"/>
      <c r="BS126" s="856"/>
      <c r="BT126" s="856"/>
      <c r="BU126" s="856"/>
      <c r="BV126" s="856"/>
      <c r="BW126" s="856"/>
      <c r="BX126" s="856"/>
      <c r="BY126" s="846"/>
      <c r="BZ126" s="848"/>
      <c r="CA126" s="846"/>
      <c r="CB126" s="823"/>
      <c r="CC126" s="823"/>
      <c r="CD126" s="823"/>
      <c r="CE126" s="823"/>
      <c r="CF126" s="823"/>
      <c r="CG126" s="823"/>
      <c r="CH126" s="823"/>
      <c r="CI126" s="823"/>
    </row>
    <row r="127" spans="1:87" ht="9.9499999999999993" customHeight="1">
      <c r="A127" s="844"/>
      <c r="B127" s="844"/>
      <c r="C127" s="844"/>
      <c r="D127" s="832"/>
      <c r="E127" s="832"/>
      <c r="F127" s="832"/>
      <c r="G127" s="845"/>
      <c r="H127" s="845"/>
      <c r="I127" s="845"/>
      <c r="J127" s="846"/>
      <c r="K127" s="854"/>
      <c r="L127" s="848"/>
      <c r="M127" s="848"/>
      <c r="N127" s="848"/>
      <c r="O127" s="854"/>
      <c r="P127" s="848"/>
      <c r="Q127" s="854"/>
      <c r="R127" s="848"/>
      <c r="S127" s="848"/>
      <c r="T127" s="848"/>
      <c r="U127" s="854"/>
      <c r="V127" s="848"/>
      <c r="W127" s="848"/>
      <c r="X127" s="848"/>
      <c r="Y127" s="848"/>
      <c r="Z127" s="848"/>
      <c r="AA127" s="854"/>
      <c r="AB127" s="849"/>
      <c r="AC127" s="849"/>
      <c r="AD127" s="849"/>
      <c r="AE127" s="849"/>
      <c r="AF127" s="849"/>
      <c r="AG127" s="849"/>
      <c r="AH127" s="848"/>
      <c r="AI127" s="848"/>
      <c r="AJ127" s="848"/>
      <c r="AK127" s="847"/>
      <c r="AL127" s="847"/>
      <c r="AM127" s="847"/>
      <c r="AN127" s="847"/>
      <c r="AO127" s="847"/>
      <c r="AP127" s="847"/>
      <c r="AQ127" s="847"/>
      <c r="AR127" s="847"/>
      <c r="AS127" s="847"/>
      <c r="AT127" s="847"/>
      <c r="AU127" s="856"/>
      <c r="AV127" s="856"/>
      <c r="AW127" s="856"/>
      <c r="AX127" s="856"/>
      <c r="AY127" s="856"/>
      <c r="AZ127" s="856"/>
      <c r="BA127" s="856"/>
      <c r="BB127" s="856"/>
      <c r="BC127" s="856"/>
      <c r="BD127" s="856"/>
      <c r="BE127" s="856"/>
      <c r="BF127" s="856"/>
      <c r="BG127" s="856"/>
      <c r="BH127" s="856"/>
      <c r="BI127" s="856"/>
      <c r="BJ127" s="856"/>
      <c r="BK127" s="856"/>
      <c r="BL127" s="856"/>
      <c r="BM127" s="856"/>
      <c r="BN127" s="856"/>
      <c r="BO127" s="856"/>
      <c r="BP127" s="856"/>
      <c r="BQ127" s="856"/>
      <c r="BR127" s="856"/>
      <c r="BS127" s="856"/>
      <c r="BT127" s="856"/>
      <c r="BU127" s="856"/>
      <c r="BV127" s="856"/>
      <c r="BW127" s="856"/>
      <c r="BX127" s="856"/>
      <c r="BY127" s="847"/>
      <c r="BZ127" s="848"/>
      <c r="CA127" s="847"/>
      <c r="CB127" s="823"/>
      <c r="CC127" s="823"/>
      <c r="CD127" s="823"/>
      <c r="CE127" s="823"/>
      <c r="CF127" s="823"/>
      <c r="CG127" s="823"/>
      <c r="CH127" s="823"/>
      <c r="CI127" s="823"/>
    </row>
    <row r="128" spans="1:87" ht="9.9499999999999993" customHeight="1">
      <c r="A128" s="844"/>
      <c r="B128" s="844"/>
      <c r="C128" s="844"/>
      <c r="D128" s="832"/>
      <c r="E128" s="832"/>
      <c r="F128" s="832"/>
      <c r="G128" s="845"/>
      <c r="H128" s="845"/>
      <c r="I128" s="845"/>
      <c r="J128" s="846"/>
      <c r="K128" s="848"/>
      <c r="L128" s="848"/>
      <c r="M128" s="848"/>
      <c r="N128" s="848"/>
      <c r="O128" s="848"/>
      <c r="P128" s="848"/>
      <c r="Q128" s="848"/>
      <c r="R128" s="848"/>
      <c r="S128" s="848"/>
      <c r="T128" s="848"/>
      <c r="U128" s="848"/>
      <c r="V128" s="848"/>
      <c r="W128" s="848"/>
      <c r="X128" s="848"/>
      <c r="Y128" s="848"/>
      <c r="Z128" s="848"/>
      <c r="AA128" s="854"/>
      <c r="AB128" s="849"/>
      <c r="AC128" s="849"/>
      <c r="AD128" s="849"/>
      <c r="AE128" s="849"/>
      <c r="AF128" s="849"/>
      <c r="AG128" s="849"/>
      <c r="AH128" s="848"/>
      <c r="AI128" s="848"/>
      <c r="AJ128" s="848"/>
      <c r="AK128" s="847"/>
      <c r="AL128" s="847"/>
      <c r="AM128" s="847"/>
      <c r="AN128" s="847"/>
      <c r="AO128" s="847"/>
      <c r="AP128" s="847"/>
      <c r="AQ128" s="847"/>
      <c r="AR128" s="847"/>
      <c r="AS128" s="847"/>
      <c r="AT128" s="847"/>
      <c r="AU128" s="856"/>
      <c r="AV128" s="856"/>
      <c r="AW128" s="856"/>
      <c r="AX128" s="856"/>
      <c r="AY128" s="856"/>
      <c r="AZ128" s="856"/>
      <c r="BA128" s="856"/>
      <c r="BB128" s="856"/>
      <c r="BC128" s="856"/>
      <c r="BD128" s="856"/>
      <c r="BE128" s="856"/>
      <c r="BF128" s="856"/>
      <c r="BG128" s="856"/>
      <c r="BH128" s="856"/>
      <c r="BI128" s="856"/>
      <c r="BJ128" s="856"/>
      <c r="BK128" s="856"/>
      <c r="BL128" s="856"/>
      <c r="BM128" s="856"/>
      <c r="BN128" s="856"/>
      <c r="BO128" s="856"/>
      <c r="BP128" s="856"/>
      <c r="BQ128" s="856"/>
      <c r="BR128" s="856"/>
      <c r="BS128" s="856"/>
      <c r="BT128" s="856"/>
      <c r="BU128" s="856"/>
      <c r="BV128" s="856"/>
      <c r="BW128" s="856"/>
      <c r="BX128" s="856"/>
      <c r="BY128" s="848"/>
      <c r="BZ128" s="848"/>
      <c r="CA128" s="847"/>
      <c r="CB128" s="823"/>
      <c r="CC128" s="823"/>
      <c r="CD128" s="823"/>
      <c r="CE128" s="823"/>
      <c r="CF128" s="823"/>
      <c r="CG128" s="823"/>
      <c r="CH128" s="823"/>
      <c r="CI128" s="823"/>
    </row>
    <row r="129" spans="1:87" ht="9.9499999999999993" customHeight="1">
      <c r="A129" s="844"/>
      <c r="B129" s="844"/>
      <c r="C129" s="844"/>
      <c r="D129" s="832"/>
      <c r="E129" s="832"/>
      <c r="F129" s="832"/>
      <c r="G129" s="845"/>
      <c r="H129" s="845"/>
      <c r="I129" s="845"/>
      <c r="J129" s="846"/>
      <c r="K129" s="848"/>
      <c r="L129" s="848"/>
      <c r="M129" s="848"/>
      <c r="N129" s="848"/>
      <c r="O129" s="848"/>
      <c r="P129" s="848"/>
      <c r="Q129" s="848"/>
      <c r="R129" s="848"/>
      <c r="S129" s="848"/>
      <c r="T129" s="848"/>
      <c r="U129" s="848"/>
      <c r="V129" s="848"/>
      <c r="W129" s="848"/>
      <c r="X129" s="848"/>
      <c r="Y129" s="848"/>
      <c r="Z129" s="848"/>
      <c r="AA129" s="854"/>
      <c r="AB129" s="849"/>
      <c r="AC129" s="849"/>
      <c r="AD129" s="849"/>
      <c r="AE129" s="849"/>
      <c r="AF129" s="849"/>
      <c r="AG129" s="849"/>
      <c r="AH129" s="848"/>
      <c r="AI129" s="848"/>
      <c r="AJ129" s="848"/>
      <c r="AK129" s="847"/>
      <c r="AL129" s="847"/>
      <c r="AM129" s="847"/>
      <c r="AN129" s="847"/>
      <c r="AO129" s="847"/>
      <c r="AP129" s="847"/>
      <c r="AQ129" s="847"/>
      <c r="AR129" s="847"/>
      <c r="AS129" s="847"/>
      <c r="AT129" s="847"/>
      <c r="AU129" s="856"/>
      <c r="AV129" s="856"/>
      <c r="AW129" s="856"/>
      <c r="AX129" s="856"/>
      <c r="AY129" s="856"/>
      <c r="AZ129" s="856"/>
      <c r="BA129" s="856"/>
      <c r="BB129" s="856"/>
      <c r="BC129" s="856"/>
      <c r="BD129" s="856"/>
      <c r="BE129" s="856"/>
      <c r="BF129" s="856"/>
      <c r="BG129" s="856"/>
      <c r="BH129" s="856"/>
      <c r="BI129" s="856"/>
      <c r="BJ129" s="856"/>
      <c r="BK129" s="856"/>
      <c r="BL129" s="856"/>
      <c r="BM129" s="856"/>
      <c r="BN129" s="856"/>
      <c r="BO129" s="856"/>
      <c r="BP129" s="856"/>
      <c r="BQ129" s="856"/>
      <c r="BR129" s="856"/>
      <c r="BS129" s="856"/>
      <c r="BT129" s="856"/>
      <c r="BU129" s="856"/>
      <c r="BV129" s="856"/>
      <c r="BW129" s="856"/>
      <c r="BX129" s="856"/>
      <c r="BY129" s="848"/>
      <c r="BZ129" s="848"/>
      <c r="CA129" s="832"/>
      <c r="CB129" s="823"/>
      <c r="CC129" s="823"/>
      <c r="CD129" s="823"/>
      <c r="CE129" s="823"/>
      <c r="CF129" s="823"/>
      <c r="CG129" s="823"/>
      <c r="CH129" s="823"/>
      <c r="CI129" s="823"/>
    </row>
    <row r="130" spans="1:87" ht="9.9499999999999993" customHeight="1">
      <c r="A130" s="855"/>
      <c r="B130" s="855"/>
      <c r="C130" s="855"/>
      <c r="D130" s="832"/>
      <c r="E130" s="832"/>
      <c r="F130" s="832"/>
      <c r="G130" s="845"/>
      <c r="H130" s="845"/>
      <c r="I130" s="845"/>
      <c r="J130" s="846"/>
      <c r="K130" s="848"/>
      <c r="L130" s="848"/>
      <c r="M130" s="848"/>
      <c r="N130" s="848"/>
      <c r="O130" s="848"/>
      <c r="P130" s="848"/>
      <c r="Q130" s="848"/>
      <c r="R130" s="848"/>
      <c r="S130" s="848"/>
      <c r="T130" s="848"/>
      <c r="U130" s="848"/>
      <c r="V130" s="848"/>
      <c r="W130" s="848"/>
      <c r="X130" s="848"/>
      <c r="Y130" s="848"/>
      <c r="Z130" s="848"/>
      <c r="AA130" s="854"/>
      <c r="AB130" s="849"/>
      <c r="AC130" s="849"/>
      <c r="AD130" s="849"/>
      <c r="AE130" s="849"/>
      <c r="AF130" s="849"/>
      <c r="AG130" s="849"/>
      <c r="AH130" s="848"/>
      <c r="AI130" s="848"/>
      <c r="AJ130" s="848"/>
      <c r="AK130" s="846"/>
      <c r="AL130" s="846"/>
      <c r="AM130" s="846"/>
      <c r="AN130" s="846"/>
      <c r="AO130" s="846"/>
      <c r="AP130" s="846"/>
      <c r="AQ130" s="846"/>
      <c r="AR130" s="846"/>
      <c r="AS130" s="846"/>
      <c r="AT130" s="846"/>
      <c r="AU130" s="856"/>
      <c r="AV130" s="856"/>
      <c r="AW130" s="856"/>
      <c r="AX130" s="856"/>
      <c r="AY130" s="856"/>
      <c r="AZ130" s="856"/>
      <c r="BA130" s="856"/>
      <c r="BB130" s="856"/>
      <c r="BC130" s="856"/>
      <c r="BD130" s="856"/>
      <c r="BE130" s="856"/>
      <c r="BF130" s="856"/>
      <c r="BG130" s="856"/>
      <c r="BH130" s="856"/>
      <c r="BI130" s="856"/>
      <c r="BJ130" s="856"/>
      <c r="BK130" s="856"/>
      <c r="BL130" s="856"/>
      <c r="BM130" s="856"/>
      <c r="BN130" s="856"/>
      <c r="BO130" s="856"/>
      <c r="BP130" s="856"/>
      <c r="BQ130" s="856"/>
      <c r="BR130" s="856"/>
      <c r="BS130" s="856"/>
      <c r="BT130" s="856"/>
      <c r="BU130" s="856"/>
      <c r="BV130" s="856"/>
      <c r="BW130" s="856"/>
      <c r="BX130" s="856"/>
      <c r="BY130" s="848"/>
      <c r="BZ130" s="848"/>
      <c r="CA130" s="832"/>
      <c r="CB130" s="823"/>
      <c r="CC130" s="823"/>
      <c r="CD130" s="823"/>
      <c r="CE130" s="823"/>
      <c r="CF130" s="823"/>
      <c r="CG130" s="823"/>
      <c r="CH130" s="823"/>
      <c r="CI130" s="823"/>
    </row>
    <row r="131" spans="1:87" ht="9.9499999999999993" customHeight="1">
      <c r="A131" s="855"/>
      <c r="B131" s="855"/>
      <c r="C131" s="855"/>
      <c r="D131" s="832"/>
      <c r="E131" s="832"/>
      <c r="F131" s="832"/>
      <c r="G131" s="845"/>
      <c r="H131" s="845"/>
      <c r="I131" s="845"/>
      <c r="J131" s="846"/>
      <c r="K131" s="848"/>
      <c r="L131" s="848"/>
      <c r="M131" s="848"/>
      <c r="N131" s="848"/>
      <c r="O131" s="848"/>
      <c r="P131" s="848"/>
      <c r="Q131" s="848"/>
      <c r="R131" s="848"/>
      <c r="S131" s="848"/>
      <c r="T131" s="848"/>
      <c r="U131" s="848"/>
      <c r="V131" s="848"/>
      <c r="W131" s="848"/>
      <c r="X131" s="848"/>
      <c r="Y131" s="848"/>
      <c r="Z131" s="848"/>
      <c r="AA131" s="854"/>
      <c r="AB131" s="849"/>
      <c r="AC131" s="849"/>
      <c r="AD131" s="849"/>
      <c r="AE131" s="849"/>
      <c r="AF131" s="849"/>
      <c r="AG131" s="849"/>
      <c r="AH131" s="848"/>
      <c r="AI131" s="848"/>
      <c r="AJ131" s="848"/>
      <c r="AK131" s="847"/>
      <c r="AL131" s="847"/>
      <c r="AM131" s="847"/>
      <c r="AN131" s="847"/>
      <c r="AO131" s="847"/>
      <c r="AP131" s="847"/>
      <c r="AQ131" s="847"/>
      <c r="AR131" s="847"/>
      <c r="AS131" s="847"/>
      <c r="AT131" s="847"/>
      <c r="AU131" s="856"/>
      <c r="AV131" s="856"/>
      <c r="AW131" s="856"/>
      <c r="AX131" s="856"/>
      <c r="AY131" s="856"/>
      <c r="AZ131" s="856"/>
      <c r="BA131" s="856"/>
      <c r="BB131" s="856"/>
      <c r="BC131" s="856"/>
      <c r="BD131" s="856"/>
      <c r="BE131" s="856"/>
      <c r="BF131" s="856"/>
      <c r="BG131" s="856"/>
      <c r="BH131" s="856"/>
      <c r="BI131" s="856"/>
      <c r="BJ131" s="856"/>
      <c r="BK131" s="856"/>
      <c r="BL131" s="856"/>
      <c r="BM131" s="856"/>
      <c r="BN131" s="856"/>
      <c r="BO131" s="856"/>
      <c r="BP131" s="856"/>
      <c r="BQ131" s="856"/>
      <c r="BR131" s="856"/>
      <c r="BS131" s="856"/>
      <c r="BT131" s="856"/>
      <c r="BU131" s="856"/>
      <c r="BV131" s="856"/>
      <c r="BW131" s="856"/>
      <c r="BX131" s="856"/>
      <c r="BY131" s="848"/>
      <c r="BZ131" s="848"/>
      <c r="CA131" s="847"/>
      <c r="CB131" s="823"/>
      <c r="CC131" s="823"/>
      <c r="CD131" s="823"/>
      <c r="CE131" s="823"/>
      <c r="CF131" s="823"/>
      <c r="CG131" s="823"/>
      <c r="CH131" s="823"/>
      <c r="CI131" s="823"/>
    </row>
    <row r="132" spans="1:87" ht="9.9499999999999993" customHeight="1">
      <c r="A132" s="855"/>
      <c r="B132" s="855"/>
      <c r="C132" s="855"/>
      <c r="D132" s="832"/>
      <c r="E132" s="832"/>
      <c r="F132" s="832"/>
      <c r="G132" s="845"/>
      <c r="H132" s="845"/>
      <c r="I132" s="845"/>
      <c r="J132" s="846"/>
      <c r="K132" s="848"/>
      <c r="L132" s="848"/>
      <c r="M132" s="848"/>
      <c r="N132" s="848"/>
      <c r="O132" s="848"/>
      <c r="P132" s="848"/>
      <c r="Q132" s="848"/>
      <c r="R132" s="848"/>
      <c r="S132" s="848"/>
      <c r="T132" s="848"/>
      <c r="U132" s="848"/>
      <c r="V132" s="848"/>
      <c r="W132" s="848"/>
      <c r="X132" s="848"/>
      <c r="Y132" s="848"/>
      <c r="Z132" s="848"/>
      <c r="AA132" s="854"/>
      <c r="AB132" s="849"/>
      <c r="AC132" s="849"/>
      <c r="AD132" s="849"/>
      <c r="AE132" s="849"/>
      <c r="AF132" s="849"/>
      <c r="AG132" s="849"/>
      <c r="AH132" s="848"/>
      <c r="AI132" s="848"/>
      <c r="AJ132" s="848"/>
      <c r="AK132" s="847"/>
      <c r="AL132" s="847"/>
      <c r="AM132" s="847"/>
      <c r="AN132" s="847"/>
      <c r="AO132" s="847"/>
      <c r="AP132" s="847"/>
      <c r="AQ132" s="847"/>
      <c r="AR132" s="847"/>
      <c r="AS132" s="847"/>
      <c r="AT132" s="847"/>
      <c r="AU132" s="856"/>
      <c r="AV132" s="856"/>
      <c r="AW132" s="856"/>
      <c r="AX132" s="856"/>
      <c r="AY132" s="856"/>
      <c r="AZ132" s="856"/>
      <c r="BA132" s="856"/>
      <c r="BB132" s="856"/>
      <c r="BC132" s="856"/>
      <c r="BD132" s="856"/>
      <c r="BE132" s="856"/>
      <c r="BF132" s="856"/>
      <c r="BG132" s="856"/>
      <c r="BH132" s="856"/>
      <c r="BI132" s="856"/>
      <c r="BJ132" s="856"/>
      <c r="BK132" s="856"/>
      <c r="BL132" s="856"/>
      <c r="BM132" s="856"/>
      <c r="BN132" s="856"/>
      <c r="BO132" s="856"/>
      <c r="BP132" s="856"/>
      <c r="BQ132" s="856"/>
      <c r="BR132" s="856"/>
      <c r="BS132" s="856"/>
      <c r="BT132" s="856"/>
      <c r="BU132" s="856"/>
      <c r="BV132" s="856"/>
      <c r="BW132" s="856"/>
      <c r="BX132" s="856"/>
      <c r="BY132" s="848"/>
      <c r="BZ132" s="848"/>
      <c r="CA132" s="847"/>
      <c r="CB132" s="823"/>
      <c r="CC132" s="823"/>
      <c r="CD132" s="823"/>
      <c r="CE132" s="823"/>
      <c r="CF132" s="823"/>
      <c r="CG132" s="823"/>
      <c r="CH132" s="823"/>
      <c r="CI132" s="823"/>
    </row>
    <row r="133" spans="1:87" ht="9.9499999999999993" customHeight="1">
      <c r="A133" s="844"/>
      <c r="B133" s="844"/>
      <c r="C133" s="844"/>
      <c r="D133" s="832"/>
      <c r="E133" s="832"/>
      <c r="F133" s="832"/>
      <c r="G133" s="845"/>
      <c r="H133" s="845"/>
      <c r="I133" s="845"/>
      <c r="J133" s="846"/>
      <c r="K133" s="848"/>
      <c r="L133" s="848"/>
      <c r="M133" s="848"/>
      <c r="N133" s="848"/>
      <c r="O133" s="848"/>
      <c r="P133" s="848"/>
      <c r="Q133" s="848"/>
      <c r="R133" s="848"/>
      <c r="S133" s="848"/>
      <c r="T133" s="848"/>
      <c r="U133" s="848"/>
      <c r="V133" s="848"/>
      <c r="W133" s="848"/>
      <c r="X133" s="848"/>
      <c r="Y133" s="848"/>
      <c r="Z133" s="848"/>
      <c r="AA133" s="854"/>
      <c r="AB133" s="849"/>
      <c r="AC133" s="849"/>
      <c r="AD133" s="849"/>
      <c r="AE133" s="849"/>
      <c r="AF133" s="849"/>
      <c r="AG133" s="849"/>
      <c r="AH133" s="848"/>
      <c r="AI133" s="848"/>
      <c r="AJ133" s="848"/>
      <c r="AK133" s="847"/>
      <c r="AL133" s="847"/>
      <c r="AM133" s="847"/>
      <c r="AN133" s="847"/>
      <c r="AO133" s="847"/>
      <c r="AP133" s="847"/>
      <c r="AQ133" s="847"/>
      <c r="AR133" s="847"/>
      <c r="AS133" s="847"/>
      <c r="AT133" s="847"/>
      <c r="AU133" s="856"/>
      <c r="AV133" s="856"/>
      <c r="AW133" s="856"/>
      <c r="AX133" s="856"/>
      <c r="AY133" s="856"/>
      <c r="AZ133" s="856"/>
      <c r="BA133" s="856"/>
      <c r="BB133" s="856"/>
      <c r="BC133" s="856"/>
      <c r="BD133" s="856"/>
      <c r="BE133" s="856"/>
      <c r="BF133" s="856"/>
      <c r="BG133" s="856"/>
      <c r="BH133" s="856"/>
      <c r="BI133" s="856"/>
      <c r="BJ133" s="856"/>
      <c r="BK133" s="856"/>
      <c r="BL133" s="856"/>
      <c r="BM133" s="856"/>
      <c r="BN133" s="856"/>
      <c r="BO133" s="856"/>
      <c r="BP133" s="856"/>
      <c r="BQ133" s="856"/>
      <c r="BR133" s="856"/>
      <c r="BS133" s="856"/>
      <c r="BT133" s="856"/>
      <c r="BU133" s="856"/>
      <c r="BV133" s="856"/>
      <c r="BW133" s="856"/>
      <c r="BX133" s="856"/>
      <c r="BY133" s="848"/>
      <c r="BZ133" s="848"/>
      <c r="CA133" s="847"/>
      <c r="CB133" s="823"/>
      <c r="CC133" s="823"/>
      <c r="CD133" s="823"/>
      <c r="CE133" s="823"/>
      <c r="CF133" s="823"/>
      <c r="CG133" s="823"/>
      <c r="CH133" s="823"/>
      <c r="CI133" s="823"/>
    </row>
    <row r="134" spans="1:87" ht="9.9499999999999993" customHeight="1">
      <c r="A134" s="844"/>
      <c r="B134" s="844"/>
      <c r="C134" s="844"/>
      <c r="D134" s="832"/>
      <c r="E134" s="832"/>
      <c r="F134" s="832"/>
      <c r="G134" s="845"/>
      <c r="H134" s="845"/>
      <c r="I134" s="845"/>
      <c r="J134" s="846"/>
      <c r="K134" s="848"/>
      <c r="L134" s="848"/>
      <c r="M134" s="848"/>
      <c r="N134" s="848"/>
      <c r="O134" s="848"/>
      <c r="P134" s="848"/>
      <c r="Q134" s="848"/>
      <c r="R134" s="848"/>
      <c r="S134" s="848"/>
      <c r="T134" s="848"/>
      <c r="U134" s="848"/>
      <c r="V134" s="848"/>
      <c r="W134" s="848"/>
      <c r="X134" s="848"/>
      <c r="Y134" s="848"/>
      <c r="Z134" s="848"/>
      <c r="AA134" s="854"/>
      <c r="AB134" s="849"/>
      <c r="AC134" s="849"/>
      <c r="AD134" s="849"/>
      <c r="AE134" s="849"/>
      <c r="AF134" s="849"/>
      <c r="AG134" s="849"/>
      <c r="AH134" s="848"/>
      <c r="AI134" s="848"/>
      <c r="AJ134" s="848"/>
      <c r="AK134" s="846"/>
      <c r="AL134" s="846"/>
      <c r="AM134" s="846"/>
      <c r="AN134" s="846"/>
      <c r="AO134" s="846"/>
      <c r="AP134" s="846"/>
      <c r="AQ134" s="846"/>
      <c r="AR134" s="846"/>
      <c r="AS134" s="846"/>
      <c r="AT134" s="846"/>
      <c r="AU134" s="856"/>
      <c r="AV134" s="856"/>
      <c r="AW134" s="856"/>
      <c r="AX134" s="856"/>
      <c r="AY134" s="856"/>
      <c r="AZ134" s="856"/>
      <c r="BA134" s="856"/>
      <c r="BB134" s="856"/>
      <c r="BC134" s="856"/>
      <c r="BD134" s="856"/>
      <c r="BE134" s="856"/>
      <c r="BF134" s="856"/>
      <c r="BG134" s="856"/>
      <c r="BH134" s="856"/>
      <c r="BI134" s="856"/>
      <c r="BJ134" s="856"/>
      <c r="BK134" s="856"/>
      <c r="BL134" s="856"/>
      <c r="BM134" s="856"/>
      <c r="BN134" s="856"/>
      <c r="BO134" s="856"/>
      <c r="BP134" s="856"/>
      <c r="BQ134" s="856"/>
      <c r="BR134" s="856"/>
      <c r="BS134" s="856"/>
      <c r="BT134" s="856"/>
      <c r="BU134" s="856"/>
      <c r="BV134" s="856"/>
      <c r="BW134" s="856"/>
      <c r="BX134" s="856"/>
      <c r="BY134" s="846"/>
      <c r="BZ134" s="846"/>
      <c r="CA134" s="846"/>
      <c r="CB134" s="823"/>
      <c r="CC134" s="823"/>
      <c r="CD134" s="823"/>
      <c r="CE134" s="823"/>
      <c r="CF134" s="823"/>
      <c r="CG134" s="823"/>
      <c r="CH134" s="823"/>
      <c r="CI134" s="823"/>
    </row>
    <row r="135" spans="1:87" ht="9.9499999999999993" customHeight="1">
      <c r="A135" s="844"/>
      <c r="B135" s="844"/>
      <c r="C135" s="844"/>
      <c r="D135" s="832"/>
      <c r="E135" s="832"/>
      <c r="F135" s="832"/>
      <c r="G135" s="845"/>
      <c r="H135" s="845"/>
      <c r="I135" s="845"/>
      <c r="J135" s="846"/>
      <c r="K135" s="846"/>
      <c r="L135" s="846"/>
      <c r="M135" s="847"/>
      <c r="N135" s="847"/>
      <c r="O135" s="847"/>
      <c r="P135" s="847"/>
      <c r="Q135" s="847"/>
      <c r="R135" s="847"/>
      <c r="S135" s="847"/>
      <c r="T135" s="847"/>
      <c r="U135" s="847"/>
      <c r="V135" s="847"/>
      <c r="W135" s="847"/>
      <c r="X135" s="847"/>
      <c r="Y135" s="849"/>
      <c r="Z135" s="858"/>
      <c r="AA135" s="848"/>
      <c r="AB135" s="848"/>
      <c r="AC135" s="858"/>
      <c r="AD135" s="858"/>
      <c r="AE135" s="847"/>
      <c r="AF135" s="847"/>
      <c r="AG135" s="847"/>
      <c r="AH135" s="847"/>
      <c r="AI135" s="847"/>
      <c r="AJ135" s="847"/>
      <c r="AK135" s="847"/>
      <c r="AL135" s="847"/>
      <c r="AM135" s="847"/>
      <c r="AN135" s="847"/>
      <c r="AO135" s="847"/>
      <c r="AP135" s="847"/>
      <c r="AQ135" s="847"/>
      <c r="AR135" s="847"/>
      <c r="AS135" s="847"/>
      <c r="AT135" s="847"/>
      <c r="AU135" s="856"/>
      <c r="AV135" s="856"/>
      <c r="AW135" s="856"/>
      <c r="AX135" s="856"/>
      <c r="AY135" s="856"/>
      <c r="AZ135" s="856"/>
      <c r="BA135" s="856"/>
      <c r="BB135" s="856"/>
      <c r="BC135" s="856"/>
      <c r="BD135" s="856"/>
      <c r="BE135" s="856"/>
      <c r="BF135" s="856"/>
      <c r="BG135" s="856"/>
      <c r="BH135" s="856"/>
      <c r="BI135" s="856"/>
      <c r="BJ135" s="856"/>
      <c r="BK135" s="856"/>
      <c r="BL135" s="856"/>
      <c r="BM135" s="856"/>
      <c r="BN135" s="856"/>
      <c r="BO135" s="856"/>
      <c r="BP135" s="856"/>
      <c r="BQ135" s="856"/>
      <c r="BR135" s="856"/>
      <c r="BS135" s="856"/>
      <c r="BT135" s="856"/>
      <c r="BU135" s="856"/>
      <c r="BV135" s="856"/>
      <c r="BW135" s="856"/>
      <c r="BX135" s="856"/>
      <c r="BY135" s="847"/>
      <c r="BZ135" s="847"/>
      <c r="CA135" s="847"/>
      <c r="CB135" s="823"/>
      <c r="CC135" s="823"/>
      <c r="CD135" s="823"/>
      <c r="CE135" s="823"/>
      <c r="CF135" s="823"/>
      <c r="CG135" s="823"/>
      <c r="CH135" s="823"/>
      <c r="CI135" s="823"/>
    </row>
    <row r="136" spans="1:87" ht="9.9499999999999993" customHeight="1">
      <c r="A136" s="855"/>
      <c r="B136" s="855"/>
      <c r="C136" s="855"/>
      <c r="D136" s="832"/>
      <c r="E136" s="832"/>
      <c r="F136" s="832"/>
      <c r="G136" s="845"/>
      <c r="H136" s="845"/>
      <c r="I136" s="845"/>
      <c r="J136" s="846"/>
      <c r="K136" s="846"/>
      <c r="L136" s="846"/>
      <c r="M136" s="847"/>
      <c r="N136" s="847"/>
      <c r="O136" s="847"/>
      <c r="P136" s="847"/>
      <c r="Q136" s="847"/>
      <c r="R136" s="847"/>
      <c r="S136" s="847"/>
      <c r="T136" s="847"/>
      <c r="U136" s="847"/>
      <c r="V136" s="847"/>
      <c r="W136" s="847"/>
      <c r="X136" s="847"/>
      <c r="Y136" s="858"/>
      <c r="Z136" s="858"/>
      <c r="AA136" s="848"/>
      <c r="AB136" s="848"/>
      <c r="AC136" s="858"/>
      <c r="AD136" s="858"/>
      <c r="AE136" s="847"/>
      <c r="AF136" s="847"/>
      <c r="AG136" s="847"/>
      <c r="AH136" s="847"/>
      <c r="AI136" s="847"/>
      <c r="AJ136" s="847"/>
      <c r="AK136" s="847"/>
      <c r="AL136" s="847"/>
      <c r="AM136" s="847"/>
      <c r="AN136" s="847"/>
      <c r="AO136" s="847"/>
      <c r="AP136" s="847"/>
      <c r="AQ136" s="847"/>
      <c r="AR136" s="847"/>
      <c r="AS136" s="847"/>
      <c r="AT136" s="847"/>
      <c r="AU136" s="856"/>
      <c r="AV136" s="856"/>
      <c r="AW136" s="856"/>
      <c r="AX136" s="856"/>
      <c r="AY136" s="856"/>
      <c r="AZ136" s="856"/>
      <c r="BA136" s="856"/>
      <c r="BB136" s="856"/>
      <c r="BC136" s="856"/>
      <c r="BD136" s="856"/>
      <c r="BE136" s="856"/>
      <c r="BF136" s="856"/>
      <c r="BG136" s="856"/>
      <c r="BH136" s="856"/>
      <c r="BI136" s="856"/>
      <c r="BJ136" s="856"/>
      <c r="BK136" s="856"/>
      <c r="BL136" s="856"/>
      <c r="BM136" s="856"/>
      <c r="BN136" s="856"/>
      <c r="BO136" s="856"/>
      <c r="BP136" s="856"/>
      <c r="BQ136" s="856"/>
      <c r="BR136" s="856"/>
      <c r="BS136" s="856"/>
      <c r="BT136" s="856"/>
      <c r="BU136" s="856"/>
      <c r="BV136" s="856"/>
      <c r="BW136" s="856"/>
      <c r="BX136" s="856"/>
      <c r="BY136" s="848"/>
      <c r="BZ136" s="848"/>
      <c r="CA136" s="847"/>
      <c r="CB136" s="823"/>
      <c r="CC136" s="823"/>
      <c r="CD136" s="823"/>
      <c r="CE136" s="823"/>
      <c r="CF136" s="823"/>
      <c r="CG136" s="823"/>
      <c r="CH136" s="823"/>
      <c r="CI136" s="823"/>
    </row>
    <row r="137" spans="1:87" ht="9.9499999999999993" customHeight="1">
      <c r="A137" s="855"/>
      <c r="B137" s="855"/>
      <c r="C137" s="855"/>
      <c r="D137" s="832"/>
      <c r="E137" s="832"/>
      <c r="F137" s="832"/>
      <c r="G137" s="845"/>
      <c r="H137" s="845"/>
      <c r="I137" s="845"/>
      <c r="J137" s="846"/>
      <c r="K137" s="846"/>
      <c r="L137" s="846"/>
      <c r="M137" s="847"/>
      <c r="N137" s="847"/>
      <c r="O137" s="847"/>
      <c r="P137" s="847"/>
      <c r="Q137" s="847"/>
      <c r="R137" s="847"/>
      <c r="S137" s="847"/>
      <c r="T137" s="847"/>
      <c r="U137" s="847"/>
      <c r="V137" s="847"/>
      <c r="W137" s="847"/>
      <c r="X137" s="847"/>
      <c r="Y137" s="858"/>
      <c r="Z137" s="858"/>
      <c r="AA137" s="848"/>
      <c r="AB137" s="848"/>
      <c r="AC137" s="858"/>
      <c r="AD137" s="858"/>
      <c r="AE137" s="847"/>
      <c r="AF137" s="847"/>
      <c r="AG137" s="847"/>
      <c r="AH137" s="847"/>
      <c r="AI137" s="847"/>
      <c r="AJ137" s="847"/>
      <c r="AK137" s="847"/>
      <c r="AL137" s="847"/>
      <c r="AM137" s="847"/>
      <c r="AN137" s="847"/>
      <c r="AO137" s="847"/>
      <c r="AP137" s="847"/>
      <c r="AQ137" s="847"/>
      <c r="AR137" s="847"/>
      <c r="AS137" s="847"/>
      <c r="AT137" s="847"/>
      <c r="AU137" s="856"/>
      <c r="AV137" s="856"/>
      <c r="AW137" s="856"/>
      <c r="AX137" s="856"/>
      <c r="AY137" s="856"/>
      <c r="AZ137" s="856"/>
      <c r="BA137" s="856"/>
      <c r="BB137" s="856"/>
      <c r="BC137" s="856"/>
      <c r="BD137" s="856"/>
      <c r="BE137" s="856"/>
      <c r="BF137" s="856"/>
      <c r="BG137" s="856"/>
      <c r="BH137" s="856"/>
      <c r="BI137" s="856"/>
      <c r="BJ137" s="856"/>
      <c r="BK137" s="856"/>
      <c r="BL137" s="856"/>
      <c r="BM137" s="856"/>
      <c r="BN137" s="856"/>
      <c r="BO137" s="856"/>
      <c r="BP137" s="856"/>
      <c r="BQ137" s="856"/>
      <c r="BR137" s="856"/>
      <c r="BS137" s="856"/>
      <c r="BT137" s="856"/>
      <c r="BU137" s="856"/>
      <c r="BV137" s="856"/>
      <c r="BW137" s="856"/>
      <c r="BX137" s="856"/>
      <c r="BY137" s="848"/>
      <c r="BZ137" s="848"/>
      <c r="CA137" s="832"/>
      <c r="CB137" s="823"/>
      <c r="CC137" s="823"/>
      <c r="CD137" s="823"/>
      <c r="CE137" s="823"/>
      <c r="CF137" s="823"/>
      <c r="CG137" s="823"/>
      <c r="CH137" s="823"/>
      <c r="CI137" s="823"/>
    </row>
    <row r="138" spans="1:87" ht="9.9499999999999993" customHeight="1">
      <c r="A138" s="855"/>
      <c r="B138" s="855"/>
      <c r="C138" s="855"/>
      <c r="D138" s="832"/>
      <c r="E138" s="832"/>
      <c r="F138" s="832"/>
      <c r="G138" s="845"/>
      <c r="H138" s="845"/>
      <c r="I138" s="845"/>
      <c r="J138" s="846"/>
      <c r="K138" s="846"/>
      <c r="L138" s="846"/>
      <c r="M138" s="846"/>
      <c r="N138" s="846"/>
      <c r="O138" s="846"/>
      <c r="P138" s="846"/>
      <c r="Q138" s="846"/>
      <c r="R138" s="846"/>
      <c r="S138" s="846"/>
      <c r="T138" s="846"/>
      <c r="U138" s="846"/>
      <c r="V138" s="846"/>
      <c r="W138" s="846"/>
      <c r="X138" s="846"/>
      <c r="Y138" s="858"/>
      <c r="Z138" s="858"/>
      <c r="AA138" s="848"/>
      <c r="AB138" s="848"/>
      <c r="AC138" s="858"/>
      <c r="AD138" s="858"/>
      <c r="AE138" s="846"/>
      <c r="AF138" s="846"/>
      <c r="AG138" s="846"/>
      <c r="AH138" s="846"/>
      <c r="AI138" s="846"/>
      <c r="AJ138" s="846"/>
      <c r="AK138" s="846"/>
      <c r="AL138" s="846"/>
      <c r="AM138" s="846"/>
      <c r="AN138" s="846"/>
      <c r="AO138" s="846"/>
      <c r="AP138" s="846"/>
      <c r="AQ138" s="846"/>
      <c r="AR138" s="846"/>
      <c r="AS138" s="846"/>
      <c r="AT138" s="846"/>
      <c r="AU138" s="856"/>
      <c r="AV138" s="856"/>
      <c r="AW138" s="856"/>
      <c r="AX138" s="856"/>
      <c r="AY138" s="856"/>
      <c r="AZ138" s="856"/>
      <c r="BA138" s="856"/>
      <c r="BB138" s="856"/>
      <c r="BC138" s="856"/>
      <c r="BD138" s="856"/>
      <c r="BE138" s="856"/>
      <c r="BF138" s="856"/>
      <c r="BG138" s="856"/>
      <c r="BH138" s="856"/>
      <c r="BI138" s="856"/>
      <c r="BJ138" s="856"/>
      <c r="BK138" s="856"/>
      <c r="BL138" s="856"/>
      <c r="BM138" s="856"/>
      <c r="BN138" s="856"/>
      <c r="BO138" s="856"/>
      <c r="BP138" s="856"/>
      <c r="BQ138" s="856"/>
      <c r="BR138" s="856"/>
      <c r="BS138" s="856"/>
      <c r="BT138" s="856"/>
      <c r="BU138" s="856"/>
      <c r="BV138" s="856"/>
      <c r="BW138" s="856"/>
      <c r="BX138" s="856"/>
      <c r="BY138" s="848"/>
      <c r="BZ138" s="848"/>
      <c r="CA138" s="832"/>
      <c r="CB138" s="823"/>
      <c r="CC138" s="823"/>
      <c r="CD138" s="823"/>
      <c r="CE138" s="823"/>
      <c r="CF138" s="823"/>
      <c r="CG138" s="823"/>
      <c r="CH138" s="823"/>
      <c r="CI138" s="823"/>
    </row>
    <row r="139" spans="1:87" ht="9.9499999999999993" customHeight="1">
      <c r="A139" s="855"/>
      <c r="B139" s="855"/>
      <c r="C139" s="855"/>
      <c r="D139" s="832"/>
      <c r="E139" s="832"/>
      <c r="F139" s="832"/>
      <c r="G139" s="845"/>
      <c r="H139" s="845"/>
      <c r="I139" s="845"/>
      <c r="J139" s="846"/>
      <c r="K139" s="846"/>
      <c r="L139" s="846"/>
      <c r="M139" s="847"/>
      <c r="N139" s="847"/>
      <c r="O139" s="847"/>
      <c r="P139" s="847"/>
      <c r="Q139" s="847"/>
      <c r="R139" s="847"/>
      <c r="S139" s="847"/>
      <c r="T139" s="847"/>
      <c r="U139" s="847"/>
      <c r="V139" s="847"/>
      <c r="W139" s="847"/>
      <c r="X139" s="847"/>
      <c r="Y139" s="858"/>
      <c r="Z139" s="858"/>
      <c r="AA139" s="848"/>
      <c r="AB139" s="848"/>
      <c r="AC139" s="858"/>
      <c r="AD139" s="858"/>
      <c r="AE139" s="847"/>
      <c r="AF139" s="847"/>
      <c r="AG139" s="847"/>
      <c r="AH139" s="847"/>
      <c r="AI139" s="847"/>
      <c r="AJ139" s="847"/>
      <c r="AK139" s="847"/>
      <c r="AL139" s="847"/>
      <c r="AM139" s="847"/>
      <c r="AN139" s="847"/>
      <c r="AO139" s="847"/>
      <c r="AP139" s="847"/>
      <c r="AQ139" s="847"/>
      <c r="AR139" s="847"/>
      <c r="AS139" s="847"/>
      <c r="AT139" s="847"/>
      <c r="AU139" s="856"/>
      <c r="AV139" s="856"/>
      <c r="AW139" s="856"/>
      <c r="AX139" s="856"/>
      <c r="AY139" s="856"/>
      <c r="AZ139" s="856"/>
      <c r="BA139" s="856"/>
      <c r="BB139" s="856"/>
      <c r="BC139" s="856"/>
      <c r="BD139" s="856"/>
      <c r="BE139" s="856"/>
      <c r="BF139" s="856"/>
      <c r="BG139" s="856"/>
      <c r="BH139" s="856"/>
      <c r="BI139" s="856"/>
      <c r="BJ139" s="856"/>
      <c r="BK139" s="856"/>
      <c r="BL139" s="856"/>
      <c r="BM139" s="856"/>
      <c r="BN139" s="856"/>
      <c r="BO139" s="856"/>
      <c r="BP139" s="856"/>
      <c r="BQ139" s="856"/>
      <c r="BR139" s="856"/>
      <c r="BS139" s="856"/>
      <c r="BT139" s="856"/>
      <c r="BU139" s="856"/>
      <c r="BV139" s="856"/>
      <c r="BW139" s="856"/>
      <c r="BX139" s="856"/>
      <c r="BY139" s="848"/>
      <c r="BZ139" s="848"/>
      <c r="CA139" s="847"/>
      <c r="CB139" s="823"/>
      <c r="CC139" s="823"/>
      <c r="CD139" s="823"/>
      <c r="CE139" s="823"/>
      <c r="CF139" s="823"/>
      <c r="CG139" s="823"/>
      <c r="CH139" s="823"/>
      <c r="CI139" s="823"/>
    </row>
    <row r="140" spans="1:87" ht="9.9499999999999993" customHeight="1">
      <c r="A140" s="857"/>
      <c r="B140" s="857"/>
      <c r="C140" s="857"/>
      <c r="D140" s="832"/>
      <c r="E140" s="832"/>
      <c r="F140" s="832"/>
      <c r="G140" s="845"/>
      <c r="H140" s="845"/>
      <c r="I140" s="845"/>
      <c r="J140" s="846"/>
      <c r="K140" s="846"/>
      <c r="L140" s="846"/>
      <c r="M140" s="847"/>
      <c r="N140" s="847"/>
      <c r="O140" s="847"/>
      <c r="P140" s="847"/>
      <c r="Q140" s="847"/>
      <c r="R140" s="847"/>
      <c r="S140" s="847"/>
      <c r="T140" s="847"/>
      <c r="U140" s="847"/>
      <c r="V140" s="847"/>
      <c r="W140" s="847"/>
      <c r="X140" s="847"/>
      <c r="Y140" s="858"/>
      <c r="Z140" s="858"/>
      <c r="AA140" s="848"/>
      <c r="AB140" s="848"/>
      <c r="AC140" s="858"/>
      <c r="AD140" s="858"/>
      <c r="AE140" s="847"/>
      <c r="AF140" s="847"/>
      <c r="AG140" s="847"/>
      <c r="AH140" s="847"/>
      <c r="AI140" s="847"/>
      <c r="AJ140" s="847"/>
      <c r="AK140" s="847"/>
      <c r="AL140" s="847"/>
      <c r="AM140" s="847"/>
      <c r="AN140" s="847"/>
      <c r="AO140" s="847"/>
      <c r="AP140" s="847"/>
      <c r="AQ140" s="847"/>
      <c r="AR140" s="847"/>
      <c r="AS140" s="847"/>
      <c r="AT140" s="847"/>
      <c r="AU140" s="856"/>
      <c r="AV140" s="856"/>
      <c r="AW140" s="856"/>
      <c r="AX140" s="856"/>
      <c r="AY140" s="856"/>
      <c r="AZ140" s="856"/>
      <c r="BA140" s="856"/>
      <c r="BB140" s="856"/>
      <c r="BC140" s="856"/>
      <c r="BD140" s="856"/>
      <c r="BE140" s="856"/>
      <c r="BF140" s="856"/>
      <c r="BG140" s="856"/>
      <c r="BH140" s="856"/>
      <c r="BI140" s="856"/>
      <c r="BJ140" s="856"/>
      <c r="BK140" s="856"/>
      <c r="BL140" s="856"/>
      <c r="BM140" s="856"/>
      <c r="BN140" s="856"/>
      <c r="BO140" s="856"/>
      <c r="BP140" s="856"/>
      <c r="BQ140" s="856"/>
      <c r="BR140" s="856"/>
      <c r="BS140" s="856"/>
      <c r="BT140" s="856"/>
      <c r="BU140" s="856"/>
      <c r="BV140" s="856"/>
      <c r="BW140" s="856"/>
      <c r="BX140" s="856"/>
      <c r="BY140" s="848"/>
      <c r="BZ140" s="848"/>
      <c r="CA140" s="847"/>
      <c r="CB140" s="823"/>
      <c r="CC140" s="823"/>
      <c r="CD140" s="823"/>
      <c r="CE140" s="823"/>
      <c r="CF140" s="823"/>
      <c r="CG140" s="823"/>
      <c r="CH140" s="823"/>
      <c r="CI140" s="823"/>
    </row>
    <row r="141" spans="1:87" ht="9.9499999999999993" customHeight="1">
      <c r="A141" s="857"/>
      <c r="B141" s="857"/>
      <c r="C141" s="857"/>
      <c r="D141" s="832"/>
      <c r="E141" s="832"/>
      <c r="F141" s="832"/>
      <c r="G141" s="845"/>
      <c r="H141" s="845"/>
      <c r="I141" s="845"/>
      <c r="J141" s="846"/>
      <c r="K141" s="846"/>
      <c r="L141" s="846"/>
      <c r="M141" s="847"/>
      <c r="N141" s="847"/>
      <c r="O141" s="847"/>
      <c r="P141" s="847"/>
      <c r="Q141" s="847"/>
      <c r="R141" s="847"/>
      <c r="S141" s="847"/>
      <c r="T141" s="847"/>
      <c r="U141" s="847"/>
      <c r="V141" s="847"/>
      <c r="W141" s="847"/>
      <c r="X141" s="847"/>
      <c r="Y141" s="858"/>
      <c r="Z141" s="858"/>
      <c r="AA141" s="848"/>
      <c r="AB141" s="848"/>
      <c r="AC141" s="858"/>
      <c r="AD141" s="858"/>
      <c r="AE141" s="847"/>
      <c r="AF141" s="847"/>
      <c r="AG141" s="847"/>
      <c r="AH141" s="847"/>
      <c r="AI141" s="847"/>
      <c r="AJ141" s="847"/>
      <c r="AK141" s="847"/>
      <c r="AL141" s="847"/>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847"/>
      <c r="BJ141" s="847"/>
      <c r="BK141" s="847"/>
      <c r="BL141" s="847"/>
      <c r="BM141" s="847"/>
      <c r="BN141" s="847"/>
      <c r="BO141" s="847"/>
      <c r="BP141" s="847"/>
      <c r="BQ141" s="847"/>
      <c r="BR141" s="847"/>
      <c r="BS141" s="847"/>
      <c r="BT141" s="847"/>
      <c r="BU141" s="847"/>
      <c r="BV141" s="847"/>
      <c r="BW141" s="848"/>
      <c r="BX141" s="848"/>
      <c r="BY141" s="848"/>
      <c r="BZ141" s="848"/>
      <c r="CA141" s="847"/>
      <c r="CB141" s="823"/>
      <c r="CC141" s="823"/>
      <c r="CD141" s="823"/>
      <c r="CE141" s="823"/>
      <c r="CF141" s="823"/>
      <c r="CG141" s="823"/>
      <c r="CH141" s="823"/>
      <c r="CI141" s="823"/>
    </row>
    <row r="142" spans="1:87" ht="9.9499999999999993" customHeight="1">
      <c r="A142" s="855"/>
      <c r="B142" s="855"/>
      <c r="C142" s="855"/>
      <c r="D142" s="832"/>
      <c r="E142" s="832"/>
      <c r="F142" s="832"/>
      <c r="G142" s="845"/>
      <c r="H142" s="845"/>
      <c r="I142" s="845"/>
      <c r="J142" s="846"/>
      <c r="K142" s="846"/>
      <c r="L142" s="846"/>
      <c r="M142" s="846"/>
      <c r="N142" s="846"/>
      <c r="O142" s="846"/>
      <c r="P142" s="846"/>
      <c r="Q142" s="846"/>
      <c r="R142" s="846"/>
      <c r="S142" s="846"/>
      <c r="T142" s="846"/>
      <c r="U142" s="846"/>
      <c r="V142" s="846"/>
      <c r="W142" s="846"/>
      <c r="X142" s="846"/>
      <c r="Y142" s="858"/>
      <c r="Z142" s="858"/>
      <c r="AA142" s="848"/>
      <c r="AB142" s="848"/>
      <c r="AC142" s="858"/>
      <c r="AD142" s="858"/>
      <c r="AE142" s="846"/>
      <c r="AF142" s="846"/>
      <c r="AG142" s="846"/>
      <c r="AH142" s="846"/>
      <c r="AI142" s="846"/>
      <c r="AJ142" s="846"/>
      <c r="AK142" s="846"/>
      <c r="AL142" s="846"/>
      <c r="AM142" s="846"/>
      <c r="AN142" s="846"/>
      <c r="AO142" s="846"/>
      <c r="AP142" s="846"/>
      <c r="AQ142" s="846"/>
      <c r="AR142" s="846"/>
      <c r="AS142" s="846"/>
      <c r="AT142" s="846"/>
      <c r="AU142" s="846"/>
      <c r="AV142" s="846"/>
      <c r="AW142" s="846"/>
      <c r="AX142" s="846"/>
      <c r="AY142" s="846"/>
      <c r="AZ142" s="846"/>
      <c r="BA142" s="846"/>
      <c r="BB142" s="846"/>
      <c r="BC142" s="846"/>
      <c r="BD142" s="846"/>
      <c r="BE142" s="846"/>
      <c r="BF142" s="846"/>
      <c r="BG142" s="846"/>
      <c r="BH142" s="846"/>
      <c r="BI142" s="846"/>
      <c r="BJ142" s="846"/>
      <c r="BK142" s="846"/>
      <c r="BL142" s="846"/>
      <c r="BM142" s="846"/>
      <c r="BN142" s="846"/>
      <c r="BO142" s="846"/>
      <c r="BP142" s="846"/>
      <c r="BQ142" s="846"/>
      <c r="BR142" s="846"/>
      <c r="BS142" s="846"/>
      <c r="BT142" s="846"/>
      <c r="BU142" s="846"/>
      <c r="BV142" s="846"/>
      <c r="BW142" s="848"/>
      <c r="BX142" s="848"/>
      <c r="BY142" s="848"/>
      <c r="BZ142" s="848"/>
      <c r="CA142" s="846"/>
      <c r="CB142" s="823"/>
      <c r="CC142" s="823"/>
      <c r="CD142" s="823"/>
      <c r="CE142" s="823"/>
      <c r="CF142" s="823"/>
      <c r="CG142" s="823"/>
      <c r="CH142" s="823"/>
      <c r="CI142" s="823"/>
    </row>
    <row r="143" spans="1:87" ht="13.5" customHeight="1">
      <c r="A143" s="841"/>
      <c r="B143" s="841"/>
      <c r="C143" s="841"/>
      <c r="D143" s="841"/>
      <c r="E143" s="841"/>
      <c r="F143" s="841"/>
      <c r="G143" s="841"/>
      <c r="H143" s="841"/>
      <c r="I143" s="841"/>
      <c r="J143" s="841"/>
      <c r="K143" s="841"/>
      <c r="L143" s="841"/>
      <c r="M143" s="838"/>
      <c r="N143" s="838"/>
      <c r="O143" s="859"/>
      <c r="P143" s="859"/>
      <c r="Q143" s="859"/>
      <c r="R143" s="859"/>
      <c r="S143" s="859"/>
      <c r="T143" s="859"/>
      <c r="U143" s="838"/>
      <c r="V143" s="838"/>
      <c r="W143" s="838"/>
      <c r="X143" s="838"/>
      <c r="Y143" s="838"/>
      <c r="Z143" s="838"/>
      <c r="AA143" s="838"/>
      <c r="AB143" s="838"/>
      <c r="AC143" s="838"/>
      <c r="AD143" s="838"/>
      <c r="AE143" s="838"/>
      <c r="AF143" s="838"/>
      <c r="AG143" s="859"/>
      <c r="AH143" s="859"/>
      <c r="AI143" s="859"/>
      <c r="AJ143" s="859"/>
      <c r="AK143" s="859"/>
      <c r="AL143" s="859"/>
      <c r="AM143" s="859"/>
      <c r="AN143" s="859"/>
      <c r="AO143" s="838"/>
      <c r="AP143" s="838"/>
      <c r="AQ143" s="838"/>
      <c r="AR143" s="838"/>
      <c r="AS143" s="838"/>
      <c r="AT143" s="838"/>
      <c r="AU143" s="838"/>
      <c r="AV143" s="838"/>
      <c r="AW143" s="842"/>
      <c r="AX143" s="842"/>
      <c r="AY143" s="842"/>
      <c r="AZ143" s="842"/>
      <c r="BA143" s="838"/>
      <c r="BB143" s="838"/>
      <c r="BC143" s="859"/>
      <c r="BD143" s="859"/>
      <c r="BE143" s="859"/>
      <c r="BF143" s="859"/>
      <c r="BG143" s="859"/>
      <c r="BH143" s="859"/>
      <c r="BI143" s="859"/>
      <c r="BJ143" s="859"/>
      <c r="BK143" s="838"/>
      <c r="BL143" s="838"/>
      <c r="BM143" s="838"/>
      <c r="BN143" s="838"/>
      <c r="BO143" s="838"/>
      <c r="BP143" s="838"/>
      <c r="BQ143" s="838"/>
      <c r="BR143" s="838"/>
      <c r="BS143" s="838"/>
      <c r="BT143" s="838"/>
      <c r="BU143" s="842"/>
      <c r="BV143" s="842"/>
      <c r="BW143" s="842"/>
      <c r="BX143" s="842"/>
      <c r="BY143" s="838"/>
      <c r="BZ143" s="838"/>
      <c r="CA143" s="838"/>
      <c r="CB143" s="823"/>
      <c r="CC143" s="823"/>
      <c r="CD143" s="823"/>
      <c r="CE143" s="823"/>
      <c r="CF143" s="823"/>
      <c r="CG143" s="823"/>
      <c r="CH143" s="823"/>
      <c r="CI143" s="823"/>
    </row>
    <row r="144" spans="1:87">
      <c r="A144" s="841"/>
      <c r="B144" s="841"/>
      <c r="C144" s="841"/>
      <c r="D144" s="841"/>
      <c r="E144" s="841"/>
      <c r="F144" s="841"/>
      <c r="G144" s="841"/>
      <c r="H144" s="841"/>
      <c r="I144" s="841"/>
      <c r="J144" s="841"/>
      <c r="K144" s="841"/>
      <c r="L144" s="841"/>
      <c r="M144" s="842"/>
      <c r="N144" s="842"/>
      <c r="O144" s="842"/>
      <c r="P144" s="842"/>
      <c r="Q144" s="838"/>
      <c r="R144" s="838"/>
      <c r="S144" s="842"/>
      <c r="T144" s="842"/>
      <c r="U144" s="842"/>
      <c r="V144" s="842"/>
      <c r="W144" s="842"/>
      <c r="X144" s="838"/>
      <c r="Y144" s="838"/>
      <c r="Z144" s="838"/>
      <c r="AA144" s="838"/>
      <c r="AB144" s="838"/>
      <c r="AC144" s="838"/>
      <c r="AD144" s="838"/>
      <c r="AE144" s="842"/>
      <c r="AF144" s="842"/>
      <c r="AG144" s="842"/>
      <c r="AH144" s="842"/>
      <c r="AI144" s="842"/>
      <c r="AJ144" s="838"/>
      <c r="AK144" s="838"/>
      <c r="AL144" s="838"/>
      <c r="AM144" s="842"/>
      <c r="AN144" s="842"/>
      <c r="AO144" s="842"/>
      <c r="AP144" s="842"/>
      <c r="AQ144" s="838"/>
      <c r="AR144" s="838"/>
      <c r="AS144" s="838"/>
      <c r="AT144" s="838"/>
      <c r="AU144" s="838"/>
      <c r="AV144" s="838"/>
      <c r="AW144" s="838"/>
      <c r="AX144" s="838"/>
      <c r="AY144" s="832"/>
      <c r="AZ144" s="832"/>
      <c r="BA144" s="842"/>
      <c r="BB144" s="842"/>
      <c r="BC144" s="842"/>
      <c r="BD144" s="842"/>
      <c r="BE144" s="832"/>
      <c r="BF144" s="832"/>
      <c r="BG144" s="832"/>
      <c r="BH144" s="832"/>
      <c r="BI144" s="842"/>
      <c r="BJ144" s="842"/>
      <c r="BK144" s="842"/>
      <c r="BL144" s="842"/>
      <c r="BM144" s="859"/>
      <c r="BN144" s="859"/>
      <c r="BO144" s="859"/>
      <c r="BP144" s="859"/>
      <c r="BQ144" s="859"/>
      <c r="BR144" s="859"/>
      <c r="BS144" s="859"/>
      <c r="BT144" s="859"/>
      <c r="BU144" s="859"/>
      <c r="BV144" s="859"/>
      <c r="BW144" s="859"/>
      <c r="BX144" s="859"/>
      <c r="BY144" s="859"/>
      <c r="BZ144" s="859"/>
      <c r="CA144" s="838"/>
      <c r="CB144" s="823"/>
      <c r="CC144" s="823"/>
      <c r="CD144" s="823"/>
      <c r="CE144" s="823"/>
      <c r="CF144" s="823"/>
      <c r="CG144" s="823"/>
      <c r="CH144" s="823"/>
      <c r="CI144" s="823"/>
    </row>
    <row r="145" spans="1:87">
      <c r="A145" s="841"/>
      <c r="B145" s="841"/>
      <c r="C145" s="841"/>
      <c r="D145" s="841"/>
      <c r="E145" s="841"/>
      <c r="F145" s="841"/>
      <c r="G145" s="841"/>
      <c r="H145" s="841"/>
      <c r="I145" s="841"/>
      <c r="J145" s="841"/>
      <c r="K145" s="841"/>
      <c r="L145" s="841"/>
      <c r="M145" s="838"/>
      <c r="N145" s="838"/>
      <c r="O145" s="838"/>
      <c r="P145" s="838"/>
      <c r="Q145" s="838"/>
      <c r="R145" s="838"/>
      <c r="S145" s="838"/>
      <c r="T145" s="838"/>
      <c r="U145" s="838"/>
      <c r="V145" s="838"/>
      <c r="W145" s="838"/>
      <c r="X145" s="838"/>
      <c r="Y145" s="838"/>
      <c r="Z145" s="838"/>
      <c r="AA145" s="838"/>
      <c r="AB145" s="838"/>
      <c r="AC145" s="838"/>
      <c r="AD145" s="838"/>
      <c r="AE145" s="838"/>
      <c r="AF145" s="838"/>
      <c r="AG145" s="838"/>
      <c r="AH145" s="840"/>
      <c r="AI145" s="839"/>
      <c r="AJ145" s="839"/>
      <c r="AK145" s="839"/>
      <c r="AL145" s="838"/>
      <c r="AM145" s="838"/>
      <c r="AN145" s="838"/>
      <c r="AO145" s="838"/>
      <c r="AP145" s="838"/>
      <c r="AQ145" s="838"/>
      <c r="AR145" s="838"/>
      <c r="AS145" s="838"/>
      <c r="AT145" s="838"/>
      <c r="AU145" s="838"/>
      <c r="AV145" s="838"/>
      <c r="AW145" s="838"/>
      <c r="AX145" s="838"/>
      <c r="AY145" s="838"/>
      <c r="AZ145" s="838"/>
      <c r="BA145" s="838"/>
      <c r="BB145" s="838"/>
      <c r="BC145" s="838"/>
      <c r="BD145" s="838"/>
      <c r="BE145" s="838"/>
      <c r="BF145" s="838"/>
      <c r="BG145" s="838"/>
      <c r="BH145" s="838"/>
      <c r="BI145" s="838"/>
      <c r="BJ145" s="838"/>
      <c r="BK145" s="838"/>
      <c r="BL145" s="838"/>
      <c r="BM145" s="838"/>
      <c r="BN145" s="838"/>
      <c r="BO145" s="838"/>
      <c r="BP145" s="838"/>
      <c r="BQ145" s="838"/>
      <c r="BR145" s="838"/>
      <c r="BS145" s="838"/>
      <c r="BT145" s="838"/>
      <c r="BU145" s="838"/>
      <c r="BV145" s="838"/>
      <c r="BW145" s="838"/>
      <c r="BX145" s="838"/>
      <c r="BY145" s="838"/>
      <c r="BZ145" s="838"/>
      <c r="CA145" s="838"/>
      <c r="CB145" s="823"/>
      <c r="CC145" s="823"/>
      <c r="CD145" s="823"/>
      <c r="CE145" s="823"/>
      <c r="CF145" s="823"/>
      <c r="CG145" s="823"/>
      <c r="CH145" s="823"/>
      <c r="CI145" s="823"/>
    </row>
    <row r="146" spans="1:87" ht="13.5" customHeight="1">
      <c r="A146" s="855"/>
      <c r="B146" s="855"/>
      <c r="C146" s="855"/>
      <c r="D146" s="846"/>
      <c r="E146" s="846"/>
      <c r="F146" s="846"/>
      <c r="G146" s="846"/>
      <c r="H146" s="846"/>
      <c r="I146" s="846"/>
      <c r="J146" s="846"/>
      <c r="K146" s="846"/>
      <c r="L146" s="846"/>
      <c r="M146" s="846"/>
      <c r="N146" s="846"/>
      <c r="O146" s="846"/>
      <c r="P146" s="846"/>
      <c r="Q146" s="846"/>
      <c r="R146" s="846"/>
      <c r="S146" s="846"/>
      <c r="T146" s="846"/>
      <c r="U146" s="846"/>
      <c r="V146" s="846"/>
      <c r="W146" s="846"/>
      <c r="X146" s="846"/>
      <c r="Y146" s="846"/>
      <c r="Z146" s="846"/>
      <c r="AA146" s="846"/>
      <c r="AB146" s="846"/>
      <c r="AC146" s="846"/>
      <c r="AD146" s="846"/>
      <c r="AE146" s="846"/>
      <c r="AF146" s="846"/>
      <c r="AG146" s="846"/>
      <c r="AH146" s="846"/>
      <c r="AI146" s="846"/>
      <c r="AJ146" s="846"/>
      <c r="AK146" s="846"/>
      <c r="AL146" s="846"/>
      <c r="AM146" s="846"/>
      <c r="AN146" s="846"/>
      <c r="AO146" s="846"/>
      <c r="AP146" s="846"/>
      <c r="AQ146" s="846"/>
      <c r="AR146" s="846"/>
      <c r="AS146" s="846"/>
      <c r="AT146" s="846"/>
      <c r="AU146" s="846"/>
      <c r="AV146" s="846"/>
      <c r="AW146" s="846"/>
      <c r="AX146" s="846"/>
      <c r="AY146" s="846"/>
      <c r="AZ146" s="846"/>
      <c r="BA146" s="846"/>
      <c r="BB146" s="846"/>
      <c r="BC146" s="846"/>
      <c r="BD146" s="846"/>
      <c r="BE146" s="846"/>
      <c r="BF146" s="846"/>
      <c r="BG146" s="846"/>
      <c r="BH146" s="846"/>
      <c r="BI146" s="846"/>
      <c r="BJ146" s="846"/>
      <c r="BK146" s="846"/>
      <c r="BL146" s="846"/>
      <c r="BM146" s="846"/>
      <c r="BN146" s="846"/>
      <c r="BO146" s="846"/>
      <c r="BP146" s="846"/>
      <c r="BQ146" s="846"/>
      <c r="BR146" s="846"/>
      <c r="BS146" s="846"/>
      <c r="BT146" s="846"/>
      <c r="BU146" s="846"/>
      <c r="BV146" s="846"/>
      <c r="BW146" s="846"/>
      <c r="BX146" s="846"/>
      <c r="BY146" s="846"/>
      <c r="BZ146" s="846"/>
      <c r="CA146" s="832"/>
      <c r="CB146" s="832"/>
      <c r="CC146" s="832"/>
      <c r="CD146" s="832"/>
      <c r="CE146" s="832"/>
      <c r="CF146" s="832"/>
      <c r="CG146" s="832"/>
      <c r="CH146" s="832"/>
      <c r="CI146" s="832"/>
    </row>
    <row r="147" spans="1:87">
      <c r="A147" s="855"/>
      <c r="B147" s="855"/>
      <c r="C147" s="855"/>
      <c r="D147" s="846"/>
      <c r="E147" s="846"/>
      <c r="F147" s="846"/>
      <c r="G147" s="846"/>
      <c r="H147" s="846"/>
      <c r="I147" s="846"/>
      <c r="J147" s="846"/>
      <c r="K147" s="846"/>
      <c r="L147" s="846"/>
      <c r="M147" s="846"/>
      <c r="N147" s="846"/>
      <c r="O147" s="846"/>
      <c r="P147" s="846"/>
      <c r="Q147" s="846"/>
      <c r="R147" s="846"/>
      <c r="S147" s="846"/>
      <c r="T147" s="846"/>
      <c r="U147" s="846"/>
      <c r="V147" s="846"/>
      <c r="W147" s="846"/>
      <c r="X147" s="846"/>
      <c r="Y147" s="846"/>
      <c r="Z147" s="846"/>
      <c r="AA147" s="846"/>
      <c r="AB147" s="846"/>
      <c r="AC147" s="846"/>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6"/>
      <c r="AY147" s="846"/>
      <c r="AZ147" s="846"/>
      <c r="BA147" s="846"/>
      <c r="BB147" s="846"/>
      <c r="BC147" s="846"/>
      <c r="BD147" s="846"/>
      <c r="BE147" s="846"/>
      <c r="BF147" s="846"/>
      <c r="BG147" s="846"/>
      <c r="BH147" s="846"/>
      <c r="BI147" s="846"/>
      <c r="BJ147" s="846"/>
      <c r="BK147" s="846"/>
      <c r="BL147" s="846"/>
      <c r="BM147" s="846"/>
      <c r="BN147" s="846"/>
      <c r="BO147" s="846"/>
      <c r="BP147" s="846"/>
      <c r="BQ147" s="846"/>
      <c r="BR147" s="846"/>
      <c r="BS147" s="846"/>
      <c r="BT147" s="846"/>
      <c r="BU147" s="846"/>
      <c r="BV147" s="846"/>
      <c r="BW147" s="846"/>
      <c r="BX147" s="846"/>
      <c r="BY147" s="846"/>
      <c r="BZ147" s="846"/>
      <c r="CA147" s="832"/>
      <c r="CB147" s="832"/>
      <c r="CC147" s="832"/>
      <c r="CD147" s="832"/>
      <c r="CE147" s="832"/>
      <c r="CF147" s="832"/>
      <c r="CG147" s="832"/>
      <c r="CH147" s="832"/>
      <c r="CI147" s="832"/>
    </row>
    <row r="148" spans="1:87">
      <c r="A148" s="855"/>
      <c r="B148" s="855"/>
      <c r="C148" s="855"/>
      <c r="D148" s="846"/>
      <c r="E148" s="846"/>
      <c r="F148" s="846"/>
      <c r="G148" s="846"/>
      <c r="H148" s="846"/>
      <c r="I148" s="846"/>
      <c r="J148" s="846"/>
      <c r="K148" s="846"/>
      <c r="L148" s="846"/>
      <c r="M148" s="846"/>
      <c r="N148" s="846"/>
      <c r="O148" s="846"/>
      <c r="P148" s="846"/>
      <c r="Q148" s="846"/>
      <c r="R148" s="846"/>
      <c r="S148" s="846"/>
      <c r="T148" s="846"/>
      <c r="U148" s="846"/>
      <c r="V148" s="846"/>
      <c r="W148" s="846"/>
      <c r="X148" s="846"/>
      <c r="Y148" s="846"/>
      <c r="Z148" s="846"/>
      <c r="AA148" s="846"/>
      <c r="AB148" s="846"/>
      <c r="AC148" s="846"/>
      <c r="AD148" s="846"/>
      <c r="AE148" s="846"/>
      <c r="AF148" s="846"/>
      <c r="AG148" s="846"/>
      <c r="AH148" s="846"/>
      <c r="AI148" s="846"/>
      <c r="AJ148" s="846"/>
      <c r="AK148" s="846"/>
      <c r="AL148" s="846"/>
      <c r="AM148" s="846"/>
      <c r="AN148" s="846"/>
      <c r="AO148" s="846"/>
      <c r="AP148" s="846"/>
      <c r="AQ148" s="846"/>
      <c r="AR148" s="846"/>
      <c r="AS148" s="846"/>
      <c r="AT148" s="846"/>
      <c r="AU148" s="846"/>
      <c r="AV148" s="846"/>
      <c r="AW148" s="846"/>
      <c r="AX148" s="846"/>
      <c r="AY148" s="846"/>
      <c r="AZ148" s="846"/>
      <c r="BA148" s="846"/>
      <c r="BB148" s="846"/>
      <c r="BC148" s="846"/>
      <c r="BD148" s="846"/>
      <c r="BE148" s="846"/>
      <c r="BF148" s="846"/>
      <c r="BG148" s="846"/>
      <c r="BH148" s="846"/>
      <c r="BI148" s="846"/>
      <c r="BJ148" s="846"/>
      <c r="BK148" s="846"/>
      <c r="BL148" s="846"/>
      <c r="BM148" s="846"/>
      <c r="BN148" s="846"/>
      <c r="BO148" s="846"/>
      <c r="BP148" s="846"/>
      <c r="BQ148" s="846"/>
      <c r="BR148" s="846"/>
      <c r="BS148" s="846"/>
      <c r="BT148" s="846"/>
      <c r="BU148" s="846"/>
      <c r="BV148" s="846"/>
      <c r="BW148" s="846"/>
      <c r="BX148" s="846"/>
      <c r="BY148" s="846"/>
      <c r="BZ148" s="846"/>
      <c r="CA148" s="832"/>
      <c r="CB148" s="832"/>
      <c r="CC148" s="832"/>
      <c r="CD148" s="832"/>
      <c r="CE148" s="832"/>
      <c r="CF148" s="832"/>
      <c r="CG148" s="832"/>
      <c r="CH148" s="832"/>
      <c r="CI148" s="832"/>
    </row>
    <row r="149" spans="1:87">
      <c r="A149" s="855"/>
      <c r="B149" s="855"/>
      <c r="C149" s="855"/>
      <c r="D149" s="846"/>
      <c r="E149" s="846"/>
      <c r="F149" s="846"/>
      <c r="G149" s="846"/>
      <c r="H149" s="846"/>
      <c r="I149" s="846"/>
      <c r="J149" s="846"/>
      <c r="K149" s="846"/>
      <c r="L149" s="846"/>
      <c r="M149" s="846"/>
      <c r="N149" s="846"/>
      <c r="O149" s="846"/>
      <c r="P149" s="846"/>
      <c r="Q149" s="846"/>
      <c r="R149" s="846"/>
      <c r="S149" s="846"/>
      <c r="T149" s="846"/>
      <c r="U149" s="846"/>
      <c r="V149" s="846"/>
      <c r="W149" s="846"/>
      <c r="X149" s="846"/>
      <c r="Y149" s="846"/>
      <c r="Z149" s="846"/>
      <c r="AA149" s="846"/>
      <c r="AB149" s="846"/>
      <c r="AC149" s="846"/>
      <c r="AD149" s="846"/>
      <c r="AE149" s="846"/>
      <c r="AF149" s="846"/>
      <c r="AG149" s="846"/>
      <c r="AH149" s="846"/>
      <c r="AI149" s="846"/>
      <c r="AJ149" s="846"/>
      <c r="AK149" s="846"/>
      <c r="AL149" s="846"/>
      <c r="AM149" s="846"/>
      <c r="AN149" s="846"/>
      <c r="AO149" s="846"/>
      <c r="AP149" s="846"/>
      <c r="AQ149" s="846"/>
      <c r="AR149" s="846"/>
      <c r="AS149" s="846"/>
      <c r="AT149" s="846"/>
      <c r="AU149" s="846"/>
      <c r="AV149" s="846"/>
      <c r="AW149" s="846"/>
      <c r="AX149" s="846"/>
      <c r="AY149" s="846"/>
      <c r="AZ149" s="846"/>
      <c r="BA149" s="846"/>
      <c r="BB149" s="846"/>
      <c r="BC149" s="846"/>
      <c r="BD149" s="846"/>
      <c r="BE149" s="846"/>
      <c r="BF149" s="846"/>
      <c r="BG149" s="846"/>
      <c r="BH149" s="846"/>
      <c r="BI149" s="846"/>
      <c r="BJ149" s="846"/>
      <c r="BK149" s="846"/>
      <c r="BL149" s="846"/>
      <c r="BM149" s="846"/>
      <c r="BN149" s="846"/>
      <c r="BO149" s="846"/>
      <c r="BP149" s="846"/>
      <c r="BQ149" s="846"/>
      <c r="BR149" s="846"/>
      <c r="BS149" s="846"/>
      <c r="BT149" s="846"/>
      <c r="BU149" s="846"/>
      <c r="BV149" s="846"/>
      <c r="BW149" s="846"/>
      <c r="BX149" s="846"/>
      <c r="BY149" s="846"/>
      <c r="BZ149" s="846"/>
      <c r="CA149" s="832"/>
      <c r="CB149" s="832"/>
      <c r="CC149" s="832"/>
      <c r="CD149" s="832"/>
      <c r="CE149" s="832"/>
      <c r="CF149" s="832"/>
      <c r="CG149" s="832"/>
      <c r="CH149" s="832"/>
      <c r="CI149" s="832"/>
    </row>
    <row r="150" spans="1:87">
      <c r="A150" s="855"/>
      <c r="B150" s="855"/>
      <c r="C150" s="855"/>
      <c r="D150" s="846"/>
      <c r="E150" s="846"/>
      <c r="F150" s="846"/>
      <c r="G150" s="846"/>
      <c r="H150" s="846"/>
      <c r="I150" s="846"/>
      <c r="J150" s="846"/>
      <c r="K150" s="846"/>
      <c r="L150" s="846"/>
      <c r="M150" s="846"/>
      <c r="N150" s="846"/>
      <c r="O150" s="846"/>
      <c r="P150" s="846"/>
      <c r="Q150" s="846"/>
      <c r="R150" s="846"/>
      <c r="S150" s="846"/>
      <c r="T150" s="846"/>
      <c r="U150" s="846"/>
      <c r="V150" s="846"/>
      <c r="W150" s="846"/>
      <c r="X150" s="846"/>
      <c r="Y150" s="846"/>
      <c r="Z150" s="846"/>
      <c r="AA150" s="846"/>
      <c r="AB150" s="846"/>
      <c r="AC150" s="846"/>
      <c r="AD150" s="846"/>
      <c r="AE150" s="846"/>
      <c r="AF150" s="846"/>
      <c r="AG150" s="846"/>
      <c r="AH150" s="846"/>
      <c r="AI150" s="846"/>
      <c r="AJ150" s="846"/>
      <c r="AK150" s="846"/>
      <c r="AL150" s="846"/>
      <c r="AM150" s="846"/>
      <c r="AN150" s="846"/>
      <c r="AO150" s="846"/>
      <c r="AP150" s="846"/>
      <c r="AQ150" s="846"/>
      <c r="AR150" s="846"/>
      <c r="AS150" s="846"/>
      <c r="AT150" s="846"/>
      <c r="AU150" s="846"/>
      <c r="AV150" s="846"/>
      <c r="AW150" s="846"/>
      <c r="AX150" s="846"/>
      <c r="AY150" s="846"/>
      <c r="AZ150" s="846"/>
      <c r="BA150" s="846"/>
      <c r="BB150" s="846"/>
      <c r="BC150" s="846"/>
      <c r="BD150" s="846"/>
      <c r="BE150" s="846"/>
      <c r="BF150" s="846"/>
      <c r="BG150" s="846"/>
      <c r="BH150" s="846"/>
      <c r="BI150" s="846"/>
      <c r="BJ150" s="846"/>
      <c r="BK150" s="846"/>
      <c r="BL150" s="846"/>
      <c r="BM150" s="846"/>
      <c r="BN150" s="846"/>
      <c r="BO150" s="846"/>
      <c r="BP150" s="846"/>
      <c r="BQ150" s="846"/>
      <c r="BR150" s="846"/>
      <c r="BS150" s="846"/>
      <c r="BT150" s="846"/>
      <c r="BU150" s="846"/>
      <c r="BV150" s="846"/>
      <c r="BW150" s="846"/>
      <c r="BX150" s="846"/>
      <c r="BY150" s="846"/>
      <c r="BZ150" s="846"/>
      <c r="CA150" s="832"/>
      <c r="CB150" s="832"/>
      <c r="CC150" s="832"/>
      <c r="CD150" s="832"/>
      <c r="CE150" s="832"/>
      <c r="CF150" s="832"/>
      <c r="CG150" s="832"/>
      <c r="CH150" s="832"/>
      <c r="CI150" s="832"/>
    </row>
    <row r="151" spans="1:87">
      <c r="A151" s="832"/>
      <c r="B151" s="832"/>
      <c r="C151" s="832"/>
      <c r="D151" s="832"/>
      <c r="E151" s="832"/>
      <c r="F151" s="832"/>
      <c r="G151" s="832"/>
      <c r="H151" s="832"/>
      <c r="I151" s="832"/>
      <c r="J151" s="832"/>
      <c r="K151" s="832"/>
      <c r="L151" s="832"/>
      <c r="M151" s="832"/>
      <c r="N151" s="832"/>
      <c r="O151" s="832"/>
      <c r="P151" s="832"/>
      <c r="Q151" s="832"/>
      <c r="R151" s="832"/>
      <c r="S151" s="832"/>
      <c r="T151" s="832"/>
      <c r="U151" s="832"/>
      <c r="V151" s="832"/>
      <c r="W151" s="832"/>
      <c r="X151" s="832"/>
      <c r="Y151" s="832"/>
      <c r="Z151" s="832"/>
      <c r="AA151" s="832"/>
      <c r="AB151" s="832"/>
      <c r="AC151" s="832"/>
      <c r="AD151" s="832"/>
      <c r="AE151" s="832"/>
      <c r="AF151" s="832"/>
      <c r="AG151" s="832"/>
      <c r="AH151" s="832"/>
      <c r="AI151" s="832"/>
      <c r="AJ151" s="832"/>
      <c r="AK151" s="832"/>
      <c r="AL151" s="832"/>
      <c r="AM151" s="832"/>
      <c r="AN151" s="832"/>
      <c r="AO151" s="832"/>
      <c r="AP151" s="832"/>
      <c r="AQ151" s="832"/>
      <c r="AR151" s="832"/>
      <c r="AS151" s="832"/>
      <c r="AT151" s="832"/>
      <c r="AU151" s="832"/>
      <c r="AV151" s="832"/>
      <c r="AW151" s="832"/>
      <c r="AX151" s="832"/>
      <c r="AY151" s="832"/>
      <c r="AZ151" s="832"/>
      <c r="BA151" s="832"/>
      <c r="BB151" s="832"/>
      <c r="BC151" s="832"/>
      <c r="BD151" s="832"/>
      <c r="BE151" s="832"/>
      <c r="BF151" s="832"/>
      <c r="BG151" s="832"/>
      <c r="BH151" s="832"/>
      <c r="BI151" s="832"/>
      <c r="BJ151" s="832"/>
      <c r="BK151" s="832"/>
      <c r="BL151" s="832"/>
      <c r="BM151" s="832"/>
      <c r="BN151" s="832"/>
      <c r="BO151" s="832"/>
      <c r="BP151" s="832"/>
      <c r="BQ151" s="832"/>
      <c r="BR151" s="832"/>
      <c r="BS151" s="832"/>
      <c r="BT151" s="832"/>
      <c r="BU151" s="832"/>
      <c r="BV151" s="832"/>
      <c r="BW151" s="832"/>
      <c r="BX151" s="832"/>
      <c r="BY151" s="832"/>
      <c r="BZ151" s="832"/>
      <c r="CA151" s="838"/>
      <c r="CB151" s="823"/>
      <c r="CC151" s="823"/>
      <c r="CD151" s="823"/>
      <c r="CE151" s="823"/>
      <c r="CF151" s="823"/>
      <c r="CG151" s="823"/>
      <c r="CH151" s="823"/>
      <c r="CI151" s="823"/>
    </row>
    <row r="152" spans="1:87">
      <c r="A152" s="832"/>
      <c r="B152" s="832"/>
      <c r="C152" s="832"/>
      <c r="D152" s="832"/>
      <c r="E152" s="832"/>
      <c r="F152" s="832"/>
      <c r="G152" s="832"/>
      <c r="H152" s="832"/>
      <c r="I152" s="832"/>
      <c r="J152" s="832"/>
      <c r="K152" s="832"/>
      <c r="L152" s="832"/>
      <c r="M152" s="832"/>
      <c r="N152" s="832"/>
      <c r="O152" s="832"/>
      <c r="P152" s="832"/>
      <c r="Q152" s="832"/>
      <c r="R152" s="832"/>
      <c r="S152" s="832"/>
      <c r="T152" s="832"/>
      <c r="U152" s="832"/>
      <c r="V152" s="832"/>
      <c r="W152" s="832"/>
      <c r="X152" s="832"/>
      <c r="Y152" s="832"/>
      <c r="Z152" s="832"/>
      <c r="AA152" s="832"/>
      <c r="AB152" s="832"/>
      <c r="AC152" s="832"/>
      <c r="AD152" s="832"/>
      <c r="AE152" s="832"/>
      <c r="AF152" s="832"/>
      <c r="AG152" s="832"/>
      <c r="AH152" s="832"/>
      <c r="AI152" s="832"/>
      <c r="AJ152" s="832"/>
      <c r="AK152" s="832"/>
      <c r="AL152" s="832"/>
      <c r="AM152" s="832"/>
      <c r="AN152" s="832"/>
      <c r="AO152" s="832"/>
      <c r="AP152" s="832"/>
      <c r="AQ152" s="832"/>
      <c r="AR152" s="832"/>
      <c r="AS152" s="832"/>
      <c r="AT152" s="832"/>
      <c r="AU152" s="832"/>
      <c r="AV152" s="832"/>
      <c r="AW152" s="832"/>
      <c r="AX152" s="832"/>
      <c r="AY152" s="832"/>
      <c r="AZ152" s="832"/>
      <c r="BA152" s="832"/>
      <c r="BB152" s="832"/>
      <c r="BC152" s="832"/>
      <c r="BD152" s="832"/>
      <c r="BE152" s="832"/>
      <c r="BF152" s="832"/>
      <c r="BG152" s="832"/>
      <c r="BH152" s="832"/>
      <c r="BI152" s="832"/>
      <c r="BJ152" s="832"/>
      <c r="BK152" s="832"/>
      <c r="BL152" s="832"/>
      <c r="BM152" s="832"/>
      <c r="BN152" s="832"/>
      <c r="BO152" s="832"/>
      <c r="BP152" s="832"/>
      <c r="BQ152" s="832"/>
      <c r="BR152" s="832"/>
      <c r="BS152" s="832"/>
      <c r="BT152" s="832"/>
      <c r="BU152" s="832"/>
      <c r="BV152" s="832"/>
      <c r="BW152" s="832"/>
      <c r="BX152" s="832"/>
      <c r="BY152" s="832"/>
      <c r="BZ152" s="832"/>
      <c r="CA152" s="838"/>
      <c r="CB152" s="823"/>
      <c r="CC152" s="823"/>
      <c r="CD152" s="823"/>
      <c r="CE152" s="823"/>
      <c r="CF152" s="823"/>
      <c r="CG152" s="823"/>
      <c r="CH152" s="823"/>
      <c r="CI152" s="823"/>
    </row>
    <row r="153" spans="1:87">
      <c r="A153" s="832"/>
      <c r="B153" s="832"/>
      <c r="C153" s="832"/>
      <c r="D153" s="832"/>
      <c r="E153" s="832"/>
      <c r="F153" s="832"/>
      <c r="G153" s="832"/>
      <c r="H153" s="832"/>
      <c r="I153" s="832"/>
      <c r="J153" s="832"/>
      <c r="K153" s="832"/>
      <c r="L153" s="832"/>
      <c r="M153" s="832"/>
      <c r="N153" s="832"/>
      <c r="O153" s="832"/>
      <c r="P153" s="832"/>
      <c r="Q153" s="832"/>
      <c r="R153" s="832"/>
      <c r="S153" s="832"/>
      <c r="T153" s="832"/>
      <c r="U153" s="832"/>
      <c r="V153" s="832"/>
      <c r="W153" s="832"/>
      <c r="X153" s="832"/>
      <c r="Y153" s="832"/>
      <c r="Z153" s="832"/>
      <c r="AA153" s="832"/>
      <c r="AB153" s="832"/>
      <c r="AC153" s="832"/>
      <c r="AD153" s="832"/>
      <c r="AE153" s="832"/>
      <c r="AF153" s="832"/>
      <c r="AG153" s="832"/>
      <c r="AH153" s="832"/>
      <c r="AI153" s="832"/>
      <c r="AJ153" s="832"/>
      <c r="AK153" s="832"/>
      <c r="AL153" s="832"/>
      <c r="AM153" s="832"/>
      <c r="AN153" s="832"/>
      <c r="AO153" s="832"/>
      <c r="AP153" s="832"/>
      <c r="AQ153" s="832"/>
      <c r="AR153" s="832"/>
      <c r="AS153" s="832"/>
      <c r="AT153" s="832"/>
      <c r="AU153" s="832"/>
      <c r="AV153" s="832"/>
      <c r="AW153" s="832"/>
      <c r="AX153" s="832"/>
      <c r="AY153" s="832"/>
      <c r="AZ153" s="832"/>
      <c r="BA153" s="832"/>
      <c r="BB153" s="832"/>
      <c r="BC153" s="832"/>
      <c r="BD153" s="832"/>
      <c r="BE153" s="832"/>
      <c r="BF153" s="832"/>
      <c r="BG153" s="832"/>
      <c r="BH153" s="832"/>
      <c r="BI153" s="832"/>
      <c r="BJ153" s="832"/>
      <c r="BK153" s="832"/>
      <c r="BL153" s="832"/>
      <c r="BM153" s="832"/>
      <c r="BN153" s="832"/>
      <c r="BO153" s="832"/>
      <c r="BP153" s="832"/>
      <c r="BQ153" s="832"/>
      <c r="BR153" s="832"/>
      <c r="BS153" s="832"/>
      <c r="BT153" s="832"/>
      <c r="BU153" s="832"/>
      <c r="BV153" s="832"/>
      <c r="BW153" s="832"/>
      <c r="BX153" s="832"/>
      <c r="BY153" s="832"/>
      <c r="BZ153" s="832"/>
      <c r="CA153" s="838"/>
      <c r="CB153" s="823"/>
      <c r="CC153" s="823"/>
      <c r="CD153" s="823"/>
      <c r="CE153" s="823"/>
      <c r="CF153" s="823"/>
      <c r="CG153" s="823"/>
      <c r="CH153" s="823"/>
      <c r="CI153" s="823"/>
    </row>
  </sheetData>
  <sheetProtection algorithmName="SHA-512" hashValue="tsnHEnz0if/0AsTnV14r1Z4kvt4nnIpcPHXEbcQ1bIln8LEcO8IheZGnt8TXENzgsD4AAPYxKqIXJXwAbaKXHA==" saltValue="JcQm0SeramYfTxzrwHxetA==" spinCount="100000" sheet="1" formatCells="0" formatColumns="0" formatRows="0" selectLockedCells="1"/>
  <mergeCells count="235">
    <mergeCell ref="A1:BZ1"/>
    <mergeCell ref="BU43:BX43"/>
    <mergeCell ref="AF7:AI7"/>
    <mergeCell ref="AM7:AP7"/>
    <mergeCell ref="BA7:BD7"/>
    <mergeCell ref="BI7:BL7"/>
    <mergeCell ref="AC10:AF10"/>
    <mergeCell ref="AG10:AJ10"/>
    <mergeCell ref="AK10:AN10"/>
    <mergeCell ref="AO10:AR10"/>
    <mergeCell ref="AS10:AV10"/>
    <mergeCell ref="AW10:AZ10"/>
    <mergeCell ref="BA10:BD10"/>
    <mergeCell ref="BE10:BH10"/>
    <mergeCell ref="BI10:BL10"/>
    <mergeCell ref="BM10:BP10"/>
    <mergeCell ref="BQ10:BT10"/>
    <mergeCell ref="BU10:BX10"/>
    <mergeCell ref="BI43:BL43"/>
    <mergeCell ref="BU9:BZ9"/>
    <mergeCell ref="D9:F10"/>
    <mergeCell ref="AW43:AZ43"/>
    <mergeCell ref="I43:L43"/>
    <mergeCell ref="M43:P43"/>
    <mergeCell ref="BQ61:BT61"/>
    <mergeCell ref="M58:P58"/>
    <mergeCell ref="Q58:S58"/>
    <mergeCell ref="T58:W58"/>
    <mergeCell ref="AF58:AI58"/>
    <mergeCell ref="AJ58:AL58"/>
    <mergeCell ref="AM58:AP58"/>
    <mergeCell ref="BA58:BD58"/>
    <mergeCell ref="BE58:BH58"/>
    <mergeCell ref="BI58:BL58"/>
    <mergeCell ref="BA55:BB56"/>
    <mergeCell ref="AK55:AL56"/>
    <mergeCell ref="BA43:BD43"/>
    <mergeCell ref="BW53:BX53"/>
    <mergeCell ref="O59:T59"/>
    <mergeCell ref="BS56:BV56"/>
    <mergeCell ref="AH59:AN59"/>
    <mergeCell ref="BC59:BJ59"/>
    <mergeCell ref="BU60:BZ60"/>
    <mergeCell ref="BC55:BD56"/>
    <mergeCell ref="A51:BZ51"/>
    <mergeCell ref="A44:C48"/>
    <mergeCell ref="G43:H43"/>
    <mergeCell ref="Q43:T43"/>
    <mergeCell ref="U43:X43"/>
    <mergeCell ref="Y43:AB43"/>
    <mergeCell ref="AC43:AF43"/>
    <mergeCell ref="AG43:AJ43"/>
    <mergeCell ref="D44:BZ48"/>
    <mergeCell ref="A49:BZ49"/>
    <mergeCell ref="A50:BZ50"/>
    <mergeCell ref="AK43:AN43"/>
    <mergeCell ref="AO43:AR43"/>
    <mergeCell ref="AS43:AV43"/>
    <mergeCell ref="A91:C92"/>
    <mergeCell ref="A93:C93"/>
    <mergeCell ref="A90:C90"/>
    <mergeCell ref="A75:C76"/>
    <mergeCell ref="BE43:BH43"/>
    <mergeCell ref="BM43:BP43"/>
    <mergeCell ref="BQ43:BT43"/>
    <mergeCell ref="BW56:BX56"/>
    <mergeCell ref="BY56:BZ56"/>
    <mergeCell ref="BW55:BX55"/>
    <mergeCell ref="BY55:BZ55"/>
    <mergeCell ref="BQ56:BR56"/>
    <mergeCell ref="M61:P61"/>
    <mergeCell ref="Q61:T61"/>
    <mergeCell ref="U61:X61"/>
    <mergeCell ref="Y61:AB61"/>
    <mergeCell ref="AE55:AH56"/>
    <mergeCell ref="AM55:AN56"/>
    <mergeCell ref="AO55:AP56"/>
    <mergeCell ref="AQ55:AR56"/>
    <mergeCell ref="AS55:AT56"/>
    <mergeCell ref="AU55:AV56"/>
    <mergeCell ref="AW55:AX56"/>
    <mergeCell ref="AY55:AZ56"/>
    <mergeCell ref="AS62:AT77"/>
    <mergeCell ref="AU62:BH77"/>
    <mergeCell ref="BI62:BJ77"/>
    <mergeCell ref="BO62:BR77"/>
    <mergeCell ref="BS62:BZ77"/>
    <mergeCell ref="K78:N93"/>
    <mergeCell ref="O78:Q93"/>
    <mergeCell ref="R78:U93"/>
    <mergeCell ref="V78:W93"/>
    <mergeCell ref="X78:X93"/>
    <mergeCell ref="BK62:BN77"/>
    <mergeCell ref="AA62:AB77"/>
    <mergeCell ref="AC62:AR77"/>
    <mergeCell ref="G62:V77"/>
    <mergeCell ref="A26:C26"/>
    <mergeCell ref="A39:C39"/>
    <mergeCell ref="A40:C41"/>
    <mergeCell ref="A14:C16"/>
    <mergeCell ref="BC8:BJ8"/>
    <mergeCell ref="A9:C10"/>
    <mergeCell ref="A11:C13"/>
    <mergeCell ref="D11:F18"/>
    <mergeCell ref="D19:F26"/>
    <mergeCell ref="G10:H10"/>
    <mergeCell ref="I10:L10"/>
    <mergeCell ref="G11:V26"/>
    <mergeCell ref="A20:C22"/>
    <mergeCell ref="D35:F42"/>
    <mergeCell ref="A42:C42"/>
    <mergeCell ref="A27:C29"/>
    <mergeCell ref="D27:F34"/>
    <mergeCell ref="A30:C32"/>
    <mergeCell ref="A17:C19"/>
    <mergeCell ref="A23:C23"/>
    <mergeCell ref="A24:C25"/>
    <mergeCell ref="A33:C35"/>
    <mergeCell ref="BY10:BZ10"/>
    <mergeCell ref="BW5:BX5"/>
    <mergeCell ref="AE4:AH5"/>
    <mergeCell ref="Q7:S7"/>
    <mergeCell ref="M7:P7"/>
    <mergeCell ref="T7:W7"/>
    <mergeCell ref="AH8:AN8"/>
    <mergeCell ref="AI9:AX9"/>
    <mergeCell ref="AJ7:AL7"/>
    <mergeCell ref="BE7:BH7"/>
    <mergeCell ref="Y10:AB10"/>
    <mergeCell ref="O8:T8"/>
    <mergeCell ref="AY9:BT9"/>
    <mergeCell ref="BO4:BP5"/>
    <mergeCell ref="BQ4:BR4"/>
    <mergeCell ref="BS4:BT4"/>
    <mergeCell ref="BK4:BL5"/>
    <mergeCell ref="BW4:BX4"/>
    <mergeCell ref="BS5:BV5"/>
    <mergeCell ref="M10:P10"/>
    <mergeCell ref="Q10:T10"/>
    <mergeCell ref="U10:X10"/>
    <mergeCell ref="BW2:BX2"/>
    <mergeCell ref="BY2:BZ2"/>
    <mergeCell ref="A4:G5"/>
    <mergeCell ref="H4:W5"/>
    <mergeCell ref="X4:AD5"/>
    <mergeCell ref="AI4:AJ5"/>
    <mergeCell ref="AK4:AL5"/>
    <mergeCell ref="AM4:AN5"/>
    <mergeCell ref="AO4:AP5"/>
    <mergeCell ref="AQ4:AR5"/>
    <mergeCell ref="AS4:AT5"/>
    <mergeCell ref="AU4:AV5"/>
    <mergeCell ref="AW4:AX5"/>
    <mergeCell ref="AY4:AZ5"/>
    <mergeCell ref="BA4:BB5"/>
    <mergeCell ref="BC4:BD5"/>
    <mergeCell ref="BE4:BF5"/>
    <mergeCell ref="BG4:BH5"/>
    <mergeCell ref="BI4:BJ5"/>
    <mergeCell ref="BY5:BZ5"/>
    <mergeCell ref="BM4:BN5"/>
    <mergeCell ref="BU4:BV4"/>
    <mergeCell ref="BY4:BZ4"/>
    <mergeCell ref="BQ5:BR5"/>
    <mergeCell ref="BY53:BZ53"/>
    <mergeCell ref="A55:G56"/>
    <mergeCell ref="H55:W56"/>
    <mergeCell ref="X55:AD56"/>
    <mergeCell ref="AI55:AJ56"/>
    <mergeCell ref="A62:C64"/>
    <mergeCell ref="A36:C38"/>
    <mergeCell ref="BU61:BX61"/>
    <mergeCell ref="BY61:BZ61"/>
    <mergeCell ref="A52:BZ52"/>
    <mergeCell ref="BE55:BF56"/>
    <mergeCell ref="BG55:BH56"/>
    <mergeCell ref="BI55:BJ56"/>
    <mergeCell ref="BK55:BL56"/>
    <mergeCell ref="BM55:BN56"/>
    <mergeCell ref="BO55:BP56"/>
    <mergeCell ref="BQ55:BR55"/>
    <mergeCell ref="BS55:BT55"/>
    <mergeCell ref="BU55:BV55"/>
    <mergeCell ref="BA61:BD61"/>
    <mergeCell ref="BE61:BH61"/>
    <mergeCell ref="BI61:BL61"/>
    <mergeCell ref="BM61:BP61"/>
    <mergeCell ref="AY60:BT60"/>
    <mergeCell ref="A102:BZ102"/>
    <mergeCell ref="G94:H94"/>
    <mergeCell ref="I94:L94"/>
    <mergeCell ref="M94:P94"/>
    <mergeCell ref="Q94:T94"/>
    <mergeCell ref="U94:X94"/>
    <mergeCell ref="BM94:BP94"/>
    <mergeCell ref="BQ94:BT94"/>
    <mergeCell ref="BU94:BX94"/>
    <mergeCell ref="A95:C99"/>
    <mergeCell ref="D95:BZ99"/>
    <mergeCell ref="BA94:BD94"/>
    <mergeCell ref="BE94:BH94"/>
    <mergeCell ref="BI94:BL94"/>
    <mergeCell ref="Y94:AB94"/>
    <mergeCell ref="AC94:AF94"/>
    <mergeCell ref="AG94:AJ94"/>
    <mergeCell ref="AK94:AN94"/>
    <mergeCell ref="AO94:AR94"/>
    <mergeCell ref="AS94:AV94"/>
    <mergeCell ref="AW94:AZ94"/>
    <mergeCell ref="A100:BZ100"/>
    <mergeCell ref="A101:BZ101"/>
    <mergeCell ref="A77:C77"/>
    <mergeCell ref="A78:C80"/>
    <mergeCell ref="D78:F85"/>
    <mergeCell ref="A60:C61"/>
    <mergeCell ref="D60:F61"/>
    <mergeCell ref="AI60:AX60"/>
    <mergeCell ref="AC61:AF61"/>
    <mergeCell ref="AG61:AJ61"/>
    <mergeCell ref="AK61:AN61"/>
    <mergeCell ref="AO61:AR61"/>
    <mergeCell ref="AS61:AV61"/>
    <mergeCell ref="AW61:AZ61"/>
    <mergeCell ref="G61:H61"/>
    <mergeCell ref="I61:L61"/>
    <mergeCell ref="A71:C73"/>
    <mergeCell ref="A84:C86"/>
    <mergeCell ref="D86:F93"/>
    <mergeCell ref="A87:C89"/>
    <mergeCell ref="A81:C83"/>
    <mergeCell ref="A65:C67"/>
    <mergeCell ref="A68:C70"/>
    <mergeCell ref="D70:F77"/>
    <mergeCell ref="A74:C74"/>
    <mergeCell ref="D62:F69"/>
  </mergeCells>
  <phoneticPr fontId="8"/>
  <conditionalFormatting sqref="BS4:BT4 BW4">
    <cfRule type="cellIs" dxfId="613" priority="5" stopIfTrue="1" operator="equal">
      <formula>""</formula>
    </cfRule>
  </conditionalFormatting>
  <conditionalFormatting sqref="BS55:BT55 BW55">
    <cfRule type="cellIs" dxfId="612" priority="2" stopIfTrue="1" operator="equal">
      <formula>""</formula>
    </cfRule>
  </conditionalFormatting>
  <conditionalFormatting sqref="H4 AE4 AO4 AU4 BA4 BE4 BK4 A11:C13 A17:C19 A24:C25 A33:C35 A27:C29 A40:C41 AK4">
    <cfRule type="cellIs" dxfId="611" priority="6" stopIfTrue="1" operator="equal">
      <formula>""</formula>
    </cfRule>
  </conditionalFormatting>
  <conditionalFormatting sqref="BW5:BX5">
    <cfRule type="containsBlanks" dxfId="610" priority="4">
      <formula>LEN(TRIM(BW5))=0</formula>
    </cfRule>
  </conditionalFormatting>
  <conditionalFormatting sqref="H55 AE55 AO55 AU55 BA55 BE55 BK55 A62:C64 A68:C70 A75:C76 A84:C86 A78:C80 A91:C92 AK55">
    <cfRule type="cellIs" dxfId="609" priority="3" stopIfTrue="1" operator="equal">
      <formula>""</formula>
    </cfRule>
  </conditionalFormatting>
  <conditionalFormatting sqref="BW56:BX56">
    <cfRule type="containsBlanks" dxfId="608" priority="1">
      <formula>LEN(TRIM(BW56))=0</formula>
    </cfRule>
  </conditionalFormatting>
  <printOptions horizontalCentered="1" verticalCentered="1"/>
  <pageMargins left="0" right="0" top="0" bottom="0" header="0" footer="0"/>
  <pageSetup paperSize="9" scale="93" orientation="landscape" r:id="rId1"/>
  <headerFooter alignWithMargins="0">
    <oddHeader>&amp;RⅥ-2</oddHeader>
  </headerFooter>
  <rowBreaks count="2" manualBreakCount="2">
    <brk id="51" max="77" man="1"/>
    <brk id="10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A228"/>
  <sheetViews>
    <sheetView showZeros="0" view="pageBreakPreview" zoomScale="60" zoomScaleNormal="100" workbookViewId="0">
      <selection activeCell="H30" sqref="H30:L30"/>
    </sheetView>
  </sheetViews>
  <sheetFormatPr defaultRowHeight="13.5"/>
  <cols>
    <col min="1" max="1" width="3.625" style="11" customWidth="1"/>
    <col min="2" max="2" width="5.625" style="11" customWidth="1"/>
    <col min="3" max="3" width="3.625" style="11" customWidth="1"/>
    <col min="4" max="4" width="5.625" style="11" customWidth="1"/>
    <col min="5" max="9" width="3.625" style="11" customWidth="1"/>
    <col min="10" max="10" width="5.625" style="11" customWidth="1"/>
    <col min="11" max="12" width="3.625" style="11" customWidth="1"/>
    <col min="13" max="13" width="8.625" style="11" customWidth="1"/>
    <col min="14" max="17" width="4.625" style="11" customWidth="1"/>
    <col min="18" max="27" width="3.625" style="11" customWidth="1"/>
    <col min="28" max="28" width="5.625" style="11" customWidth="1"/>
    <col min="29" max="29" width="3.625" style="11" customWidth="1"/>
    <col min="30" max="30" width="6.625" style="11" customWidth="1"/>
    <col min="31" max="31" width="3.625" style="11" customWidth="1"/>
    <col min="32" max="33" width="5.625" style="11" customWidth="1"/>
    <col min="34" max="35" width="4.625" style="11" customWidth="1"/>
    <col min="36" max="36" width="5.625" style="11" customWidth="1"/>
    <col min="37" max="38" width="4.625" style="11" customWidth="1"/>
    <col min="39" max="39" width="8.625" style="11" customWidth="1"/>
    <col min="40" max="43" width="4.625" style="11" customWidth="1"/>
    <col min="44" max="52" width="3.625" style="11" customWidth="1"/>
    <col min="53" max="53" width="10.625" style="11" customWidth="1"/>
    <col min="54" max="54" width="15.875" style="11" customWidth="1"/>
    <col min="55" max="55" width="13.75" style="11" customWidth="1"/>
    <col min="56" max="56" width="28.375" style="11" customWidth="1"/>
    <col min="57" max="57" width="27.125" style="11" customWidth="1"/>
    <col min="58" max="58" width="16.25" style="11" customWidth="1"/>
    <col min="59" max="59" width="16" style="11" customWidth="1"/>
    <col min="60" max="60" width="22" style="11" customWidth="1"/>
    <col min="61" max="61" width="9.75" style="11" customWidth="1"/>
    <col min="62" max="62" width="8.625" style="11" customWidth="1"/>
    <col min="63" max="63" width="6" style="11" customWidth="1"/>
    <col min="64" max="64" width="5.5" style="11" customWidth="1"/>
    <col min="65" max="65" width="7.125" style="11" customWidth="1"/>
    <col min="66" max="66" width="23.625" style="11" customWidth="1"/>
    <col min="67" max="67" width="8.625" style="11" customWidth="1"/>
    <col min="68" max="72" width="9" style="11"/>
    <col min="73" max="73" width="6.125" style="11" customWidth="1"/>
    <col min="74" max="74" width="7.875" style="11" customWidth="1"/>
    <col min="75" max="16384" width="9" style="11"/>
  </cols>
  <sheetData>
    <row r="1" spans="1:79" ht="24" customHeight="1">
      <c r="A1" s="1571" t="s">
        <v>94</v>
      </c>
      <c r="B1" s="1571"/>
      <c r="C1" s="1571"/>
      <c r="D1" s="1571"/>
      <c r="E1" s="1571"/>
      <c r="F1" s="1571"/>
      <c r="G1" s="1571"/>
      <c r="H1" s="1571"/>
      <c r="I1" s="1571"/>
      <c r="J1" s="1571"/>
      <c r="K1" s="1571"/>
      <c r="L1" s="1571"/>
      <c r="M1" s="1571"/>
      <c r="N1" s="1571"/>
      <c r="O1" s="1571"/>
      <c r="P1" s="1571"/>
      <c r="Q1" s="1571"/>
      <c r="R1" s="1571"/>
      <c r="S1" s="1571"/>
      <c r="T1" s="1571"/>
      <c r="U1" s="1571"/>
      <c r="V1" s="1571"/>
      <c r="W1" s="1571"/>
      <c r="X1" s="1571"/>
      <c r="Y1" s="1571"/>
      <c r="Z1" s="1571"/>
      <c r="AA1" s="1571" t="s">
        <v>94</v>
      </c>
      <c r="AB1" s="1571"/>
      <c r="AC1" s="1571"/>
      <c r="AD1" s="1571"/>
      <c r="AE1" s="1571"/>
      <c r="AF1" s="1571"/>
      <c r="AG1" s="1571"/>
      <c r="AH1" s="1571"/>
      <c r="AI1" s="1571"/>
      <c r="AJ1" s="1571"/>
      <c r="AK1" s="1571"/>
      <c r="AL1" s="1571"/>
      <c r="AM1" s="1571"/>
      <c r="AN1" s="1571"/>
      <c r="AO1" s="1571"/>
      <c r="AP1" s="1571"/>
      <c r="AQ1" s="1571"/>
      <c r="AR1" s="1571"/>
      <c r="AS1" s="1571"/>
      <c r="AT1" s="1571"/>
      <c r="AU1" s="1571"/>
      <c r="AV1" s="1571"/>
      <c r="AW1" s="1571"/>
      <c r="AX1" s="1571"/>
      <c r="AY1" s="1571"/>
      <c r="AZ1" s="1571"/>
      <c r="BA1" s="96">
        <v>1</v>
      </c>
      <c r="BB1" s="96"/>
      <c r="BC1" s="97"/>
      <c r="BD1" s="97"/>
      <c r="BE1" s="97"/>
      <c r="BF1" s="97"/>
      <c r="BG1" s="96"/>
      <c r="BH1" s="96"/>
      <c r="BI1" s="96"/>
      <c r="BJ1" s="96"/>
      <c r="BK1" s="96"/>
      <c r="BL1" s="96"/>
      <c r="BM1" s="96"/>
      <c r="BN1" s="96"/>
      <c r="BO1" s="96"/>
      <c r="BP1" s="96"/>
      <c r="BQ1" s="96"/>
      <c r="BR1" s="98"/>
      <c r="BS1" s="98"/>
      <c r="BT1" s="98"/>
      <c r="BU1" s="98"/>
      <c r="BV1" s="98"/>
      <c r="BW1" s="98"/>
      <c r="BX1" s="98"/>
      <c r="BY1" s="98"/>
      <c r="BZ1" s="98"/>
      <c r="CA1" s="98"/>
    </row>
    <row r="2" spans="1:79" ht="13.5" customHeight="1" thickBot="1">
      <c r="A2" s="726" t="b">
        <v>0</v>
      </c>
      <c r="B2" s="726" t="b">
        <v>0</v>
      </c>
      <c r="C2" s="367"/>
      <c r="D2" s="369"/>
      <c r="E2" s="361"/>
      <c r="F2" s="372"/>
      <c r="G2" s="372"/>
      <c r="H2" s="368"/>
      <c r="I2" s="368"/>
      <c r="J2" s="368"/>
      <c r="K2" s="371"/>
      <c r="L2" s="371"/>
      <c r="M2" s="371"/>
      <c r="N2" s="371"/>
      <c r="O2" s="371"/>
      <c r="P2" s="371"/>
      <c r="Q2" s="371"/>
      <c r="R2" s="371"/>
      <c r="S2" s="371"/>
      <c r="T2" s="371"/>
      <c r="U2" s="371"/>
      <c r="V2" s="371"/>
      <c r="W2" s="451" t="s">
        <v>328</v>
      </c>
      <c r="X2" s="709">
        <v>1</v>
      </c>
      <c r="Y2" s="451" t="s">
        <v>329</v>
      </c>
      <c r="Z2" s="709">
        <v>1</v>
      </c>
      <c r="AA2" s="456" t="b">
        <v>0</v>
      </c>
      <c r="AB2" s="456" t="b">
        <v>0</v>
      </c>
      <c r="AC2" s="367"/>
      <c r="AD2" s="369"/>
      <c r="AE2" s="361"/>
      <c r="AF2" s="372"/>
      <c r="AG2" s="372"/>
      <c r="AH2" s="368"/>
      <c r="AI2" s="368"/>
      <c r="AJ2" s="368"/>
      <c r="AK2" s="437"/>
      <c r="AL2" s="437"/>
      <c r="AM2" s="437"/>
      <c r="AN2" s="437"/>
      <c r="AO2" s="437"/>
      <c r="AP2" s="437"/>
      <c r="AQ2" s="437"/>
      <c r="AR2" s="437"/>
      <c r="AS2" s="437"/>
      <c r="AT2" s="437"/>
      <c r="AU2" s="437"/>
      <c r="AV2" s="437"/>
      <c r="AW2" s="451" t="s">
        <v>88</v>
      </c>
      <c r="AX2" s="709">
        <v>1</v>
      </c>
      <c r="AY2" s="451" t="s">
        <v>125</v>
      </c>
      <c r="AZ2" s="709">
        <v>1</v>
      </c>
      <c r="BA2" s="96">
        <v>2</v>
      </c>
      <c r="BB2" s="96"/>
      <c r="BC2" s="97"/>
      <c r="BD2" s="96"/>
      <c r="BE2" s="96"/>
      <c r="BF2" s="97"/>
      <c r="BG2" s="96"/>
      <c r="BH2" s="96"/>
      <c r="BI2" s="96"/>
      <c r="BJ2" s="96"/>
      <c r="BK2" s="96"/>
      <c r="BL2" s="96"/>
      <c r="BM2" s="96"/>
      <c r="BN2" s="96"/>
      <c r="BO2" s="96"/>
      <c r="BP2" s="96"/>
      <c r="BQ2" s="96"/>
      <c r="BR2" s="98"/>
      <c r="BS2" s="98"/>
      <c r="BT2" s="98"/>
      <c r="BU2" s="98"/>
      <c r="BV2" s="98"/>
      <c r="BW2" s="98"/>
      <c r="BX2" s="98"/>
      <c r="BY2" s="98"/>
      <c r="BZ2" s="98"/>
      <c r="CA2" s="98"/>
    </row>
    <row r="3" spans="1:79" ht="13.5" customHeight="1">
      <c r="A3" s="1572" t="s">
        <v>95</v>
      </c>
      <c r="B3" s="1572"/>
      <c r="C3" s="1572"/>
      <c r="D3" s="1572"/>
      <c r="E3" s="1572"/>
      <c r="F3" s="1572"/>
      <c r="G3" s="1572"/>
      <c r="H3" s="1572"/>
      <c r="I3" s="1572"/>
      <c r="J3" s="1572"/>
      <c r="K3" s="1572"/>
      <c r="L3" s="1572"/>
      <c r="M3" s="1572"/>
      <c r="N3" s="1572"/>
      <c r="O3" s="1572"/>
      <c r="P3" s="1572"/>
      <c r="Q3" s="1572"/>
      <c r="R3" s="1572"/>
      <c r="S3" s="1572"/>
      <c r="T3" s="1572"/>
      <c r="U3" s="1572"/>
      <c r="V3" s="1572"/>
      <c r="W3" s="373"/>
      <c r="X3" s="359"/>
      <c r="Y3" s="359"/>
      <c r="Z3" s="359"/>
      <c r="AA3" s="1572" t="s">
        <v>95</v>
      </c>
      <c r="AB3" s="1572"/>
      <c r="AC3" s="1572"/>
      <c r="AD3" s="1572"/>
      <c r="AE3" s="1572"/>
      <c r="AF3" s="1572"/>
      <c r="AG3" s="1572"/>
      <c r="AH3" s="1572"/>
      <c r="AI3" s="1572"/>
      <c r="AJ3" s="1572"/>
      <c r="AK3" s="1572"/>
      <c r="AL3" s="1572"/>
      <c r="AM3" s="1572"/>
      <c r="AN3" s="1572"/>
      <c r="AO3" s="1572"/>
      <c r="AP3" s="1572"/>
      <c r="AQ3" s="1572"/>
      <c r="AR3" s="1572"/>
      <c r="AS3" s="1572"/>
      <c r="AT3" s="1572"/>
      <c r="AU3" s="1572"/>
      <c r="AV3" s="1572"/>
      <c r="AW3" s="373"/>
      <c r="AX3" s="359"/>
      <c r="AY3" s="359"/>
      <c r="AZ3" s="359"/>
      <c r="BA3" s="96">
        <v>3</v>
      </c>
      <c r="BB3" s="96"/>
      <c r="BC3" s="97"/>
      <c r="BD3" s="96"/>
      <c r="BE3" s="96"/>
      <c r="BF3" s="97"/>
      <c r="BG3" s="96"/>
      <c r="BH3" s="96"/>
      <c r="BI3" s="96"/>
      <c r="BJ3" s="96"/>
      <c r="BK3" s="96"/>
      <c r="BL3" s="96"/>
      <c r="BM3" s="96"/>
      <c r="BN3" s="96"/>
      <c r="BO3" s="96"/>
      <c r="BP3" s="96"/>
      <c r="BQ3" s="96"/>
      <c r="BR3" s="98"/>
      <c r="BS3" s="98"/>
      <c r="BT3" s="98"/>
      <c r="BU3" s="98"/>
      <c r="BV3" s="98"/>
      <c r="BW3" s="98"/>
      <c r="BX3" s="98"/>
      <c r="BY3" s="98"/>
      <c r="BZ3" s="98"/>
      <c r="CA3" s="98"/>
    </row>
    <row r="4" spans="1:79" ht="19.5" customHeight="1" thickBot="1">
      <c r="A4" s="374"/>
      <c r="B4" s="725" t="s">
        <v>2924</v>
      </c>
      <c r="C4" s="453" t="s">
        <v>2922</v>
      </c>
      <c r="D4" s="454"/>
      <c r="E4" s="448" t="s">
        <v>17</v>
      </c>
      <c r="F4" s="454"/>
      <c r="G4" s="448" t="s">
        <v>16</v>
      </c>
      <c r="H4" s="433" t="s">
        <v>330</v>
      </c>
      <c r="I4" s="375"/>
      <c r="J4" s="725" t="s">
        <v>2923</v>
      </c>
      <c r="K4" s="453" t="s">
        <v>2922</v>
      </c>
      <c r="L4" s="457"/>
      <c r="M4" s="449" t="s">
        <v>17</v>
      </c>
      <c r="N4" s="458"/>
      <c r="O4" s="449" t="s">
        <v>16</v>
      </c>
      <c r="P4" s="457"/>
      <c r="Q4" s="449" t="s">
        <v>39</v>
      </c>
      <c r="R4" s="459"/>
      <c r="S4" s="449" t="s">
        <v>96</v>
      </c>
      <c r="T4" s="376" t="s">
        <v>331</v>
      </c>
      <c r="U4" s="355"/>
      <c r="V4" s="1573" t="s">
        <v>97</v>
      </c>
      <c r="W4" s="1579"/>
      <c r="X4" s="1580"/>
      <c r="Y4" s="1575" t="s">
        <v>327</v>
      </c>
      <c r="Z4" s="1577"/>
      <c r="AA4" s="374"/>
      <c r="AB4" s="713" t="s">
        <v>2924</v>
      </c>
      <c r="AC4" s="453" t="s">
        <v>2922</v>
      </c>
      <c r="AD4" s="454">
        <v>9</v>
      </c>
      <c r="AE4" s="448" t="s">
        <v>17</v>
      </c>
      <c r="AF4" s="454">
        <v>1</v>
      </c>
      <c r="AG4" s="448" t="s">
        <v>16</v>
      </c>
      <c r="AH4" s="433" t="s">
        <v>42</v>
      </c>
      <c r="AI4" s="375"/>
      <c r="AJ4" s="712" t="s">
        <v>2923</v>
      </c>
      <c r="AK4" s="453" t="s">
        <v>2922</v>
      </c>
      <c r="AL4" s="457">
        <v>9</v>
      </c>
      <c r="AM4" s="449" t="s">
        <v>17</v>
      </c>
      <c r="AN4" s="458">
        <v>15</v>
      </c>
      <c r="AO4" s="449" t="s">
        <v>16</v>
      </c>
      <c r="AP4" s="457">
        <v>15</v>
      </c>
      <c r="AQ4" s="449" t="s">
        <v>39</v>
      </c>
      <c r="AR4" s="459">
        <v>30</v>
      </c>
      <c r="AS4" s="449" t="s">
        <v>96</v>
      </c>
      <c r="AT4" s="376" t="s">
        <v>42</v>
      </c>
      <c r="AU4" s="355"/>
      <c r="AV4" s="1573" t="s">
        <v>97</v>
      </c>
      <c r="AW4" s="1579"/>
      <c r="AX4" s="1580"/>
      <c r="AY4" s="1575" t="s">
        <v>125</v>
      </c>
      <c r="AZ4" s="1577"/>
      <c r="BA4" s="96">
        <v>4</v>
      </c>
      <c r="BB4" s="96"/>
      <c r="BC4" s="97"/>
      <c r="BD4" s="96"/>
      <c r="BE4" s="96"/>
      <c r="BF4" s="97"/>
      <c r="BG4" s="96"/>
      <c r="BH4" s="96"/>
      <c r="BI4" s="96"/>
      <c r="BJ4" s="96"/>
      <c r="BK4" s="96"/>
      <c r="BL4" s="96"/>
      <c r="BM4" s="96"/>
      <c r="BN4" s="96"/>
      <c r="BO4" s="96"/>
      <c r="BP4" s="96"/>
      <c r="BQ4" s="96"/>
      <c r="BR4" s="98"/>
      <c r="BS4" s="98"/>
      <c r="BT4" s="98"/>
      <c r="BU4" s="98"/>
      <c r="BV4" s="98"/>
      <c r="BW4" s="98"/>
      <c r="BX4" s="98"/>
      <c r="BY4" s="98"/>
      <c r="BZ4" s="98"/>
      <c r="CA4" s="98"/>
    </row>
    <row r="5" spans="1:79" ht="8.1" customHeight="1">
      <c r="A5" s="359"/>
      <c r="B5" s="359"/>
      <c r="C5" s="359"/>
      <c r="D5" s="359"/>
      <c r="E5" s="359"/>
      <c r="F5" s="359"/>
      <c r="G5" s="797" t="str">
        <f>H7</f>
        <v/>
      </c>
      <c r="H5" s="797" t="str">
        <f>P7</f>
        <v/>
      </c>
      <c r="I5" s="378"/>
      <c r="J5" s="360"/>
      <c r="K5" s="379"/>
      <c r="L5" s="359"/>
      <c r="M5" s="359"/>
      <c r="N5" s="359"/>
      <c r="O5" s="380"/>
      <c r="P5" s="377"/>
      <c r="Q5" s="377"/>
      <c r="R5" s="379"/>
      <c r="S5" s="360"/>
      <c r="T5" s="379"/>
      <c r="U5" s="356"/>
      <c r="V5" s="1574"/>
      <c r="W5" s="1581"/>
      <c r="X5" s="1582"/>
      <c r="Y5" s="1576"/>
      <c r="Z5" s="1578"/>
      <c r="AA5" s="359"/>
      <c r="AB5" s="359"/>
      <c r="AC5" s="359"/>
      <c r="AD5" s="359"/>
      <c r="AE5" s="359"/>
      <c r="AF5" s="359"/>
      <c r="AG5" s="377"/>
      <c r="AH5" s="377"/>
      <c r="AI5" s="378"/>
      <c r="AJ5" s="431"/>
      <c r="AK5" s="379"/>
      <c r="AL5" s="359"/>
      <c r="AM5" s="359"/>
      <c r="AN5" s="359"/>
      <c r="AO5" s="432"/>
      <c r="AP5" s="377"/>
      <c r="AQ5" s="377"/>
      <c r="AR5" s="379"/>
      <c r="AS5" s="431"/>
      <c r="AT5" s="379"/>
      <c r="AU5" s="356"/>
      <c r="AV5" s="1574"/>
      <c r="AW5" s="1581"/>
      <c r="AX5" s="1582"/>
      <c r="AY5" s="1576"/>
      <c r="AZ5" s="1578"/>
      <c r="BA5" s="96">
        <v>5</v>
      </c>
      <c r="BB5" s="96"/>
      <c r="BC5" s="97"/>
      <c r="BD5" s="96"/>
      <c r="BE5" s="96"/>
      <c r="BF5" s="97"/>
      <c r="BG5" s="96"/>
      <c r="BH5" s="96"/>
      <c r="BI5" s="96"/>
      <c r="BJ5" s="96"/>
      <c r="BK5" s="96"/>
      <c r="BL5" s="96"/>
      <c r="BM5" s="96"/>
      <c r="BN5" s="96"/>
      <c r="BO5" s="96"/>
      <c r="BP5" s="96"/>
      <c r="BQ5" s="96"/>
      <c r="BR5" s="98"/>
      <c r="BS5" s="98"/>
      <c r="BT5" s="98"/>
      <c r="BU5" s="98"/>
      <c r="BV5" s="98"/>
      <c r="BW5" s="98"/>
      <c r="BX5" s="98"/>
      <c r="BY5" s="98"/>
      <c r="BZ5" s="98"/>
      <c r="CA5" s="98"/>
    </row>
    <row r="6" spans="1:79" ht="27" customHeight="1" thickBot="1">
      <c r="A6" s="1562" t="s">
        <v>87</v>
      </c>
      <c r="B6" s="1562"/>
      <c r="C6" s="1562"/>
      <c r="D6" s="1564" t="str">
        <f>CONCATENATE('01 使用承認申請書'!D4)</f>
        <v/>
      </c>
      <c r="E6" s="1564"/>
      <c r="F6" s="1564"/>
      <c r="G6" s="1564"/>
      <c r="H6" s="1564"/>
      <c r="I6" s="1564"/>
      <c r="J6" s="1564"/>
      <c r="K6" s="1564"/>
      <c r="L6" s="1564"/>
      <c r="M6" s="1564"/>
      <c r="N6" s="1564"/>
      <c r="O6" s="1564"/>
      <c r="P6" s="1564"/>
      <c r="Q6" s="1564"/>
      <c r="R6" s="1564"/>
      <c r="S6" s="1564"/>
      <c r="T6" s="1564"/>
      <c r="U6" s="361"/>
      <c r="V6" s="361"/>
      <c r="W6" s="361"/>
      <c r="X6" s="361"/>
      <c r="Y6" s="361"/>
      <c r="Z6" s="361"/>
      <c r="AA6" s="1562" t="s">
        <v>87</v>
      </c>
      <c r="AB6" s="1562"/>
      <c r="AC6" s="1562"/>
      <c r="AD6" s="1564" t="str">
        <f>CONCATENATE('01 使用承認申請書'!AD4)</f>
        <v>ベースボールスクール山の家</v>
      </c>
      <c r="AE6" s="1564"/>
      <c r="AF6" s="1564"/>
      <c r="AG6" s="1564"/>
      <c r="AH6" s="1564"/>
      <c r="AI6" s="1564"/>
      <c r="AJ6" s="1564"/>
      <c r="AK6" s="1564"/>
      <c r="AL6" s="1564"/>
      <c r="AM6" s="1564"/>
      <c r="AN6" s="1564"/>
      <c r="AO6" s="1564"/>
      <c r="AP6" s="1564"/>
      <c r="AQ6" s="1564"/>
      <c r="AR6" s="1564"/>
      <c r="AS6" s="1564"/>
      <c r="AT6" s="1564"/>
      <c r="AU6" s="361"/>
      <c r="AV6" s="361"/>
      <c r="AW6" s="361"/>
      <c r="AX6" s="361"/>
      <c r="AY6" s="361"/>
      <c r="AZ6" s="361"/>
      <c r="BA6" s="96">
        <v>6</v>
      </c>
      <c r="BB6" s="96"/>
      <c r="BC6" s="97"/>
      <c r="BD6" s="96"/>
      <c r="BE6" s="96"/>
      <c r="BF6" s="97"/>
      <c r="BG6" s="96"/>
      <c r="BH6" s="96"/>
      <c r="BI6" s="96"/>
      <c r="BJ6" s="96"/>
      <c r="BK6" s="96"/>
      <c r="BL6" s="96"/>
      <c r="BM6" s="96"/>
      <c r="BN6" s="96"/>
      <c r="BO6" s="96"/>
      <c r="BP6" s="96"/>
      <c r="BQ6" s="96"/>
      <c r="BR6" s="98"/>
      <c r="BS6" s="98"/>
      <c r="BT6" s="98"/>
      <c r="BU6" s="98"/>
      <c r="BV6" s="98"/>
      <c r="BW6" s="98"/>
      <c r="BX6" s="98"/>
      <c r="BY6" s="98"/>
      <c r="BZ6" s="98"/>
      <c r="CA6" s="98"/>
    </row>
    <row r="7" spans="1:79" ht="13.5" customHeight="1">
      <c r="A7" s="1561" t="s">
        <v>86</v>
      </c>
      <c r="B7" s="1561"/>
      <c r="C7" s="1561"/>
      <c r="D7" s="1547" t="str">
        <f>CONCATENATE('01 使用承認申請書'!B12)</f>
        <v/>
      </c>
      <c r="E7" s="1539" t="s">
        <v>18</v>
      </c>
      <c r="F7" s="1545" t="str">
        <f>CONCATENATE('01 使用承認申請書'!C14)</f>
        <v/>
      </c>
      <c r="G7" s="1546" t="s">
        <v>17</v>
      </c>
      <c r="H7" s="1537" t="str">
        <f>CONCATENATE('01 使用承認申請書'!F14)</f>
        <v/>
      </c>
      <c r="I7" s="1539" t="s">
        <v>16</v>
      </c>
      <c r="J7" s="1539" t="s">
        <v>326</v>
      </c>
      <c r="K7" s="1537" t="str">
        <f>CONCATENATE('01 使用承認申請書'!J14)</f>
        <v/>
      </c>
      <c r="L7" s="1539" t="s">
        <v>332</v>
      </c>
      <c r="M7" s="1539" t="s">
        <v>333</v>
      </c>
      <c r="N7" s="1537" t="str">
        <f>CONCATENATE('01 使用承認申請書'!C16)</f>
        <v/>
      </c>
      <c r="O7" s="1539" t="s">
        <v>17</v>
      </c>
      <c r="P7" s="1537" t="str">
        <f>CONCATENATE('01 使用承認申請書'!F16)</f>
        <v/>
      </c>
      <c r="Q7" s="1539" t="s">
        <v>16</v>
      </c>
      <c r="R7" s="1539" t="s">
        <v>334</v>
      </c>
      <c r="S7" s="1537" t="str">
        <f>CONCATENATE('01 使用承認申請書'!J16)</f>
        <v/>
      </c>
      <c r="T7" s="1539" t="s">
        <v>332</v>
      </c>
      <c r="U7" s="452"/>
      <c r="V7" s="501"/>
      <c r="W7" s="710" t="str">
        <f>CONCATENATE('01 使用承認申請書'!L13)</f>
        <v/>
      </c>
      <c r="X7" s="452" t="s">
        <v>51</v>
      </c>
      <c r="Y7" s="710" t="str">
        <f>CONCATENATE('01 使用承認申請書'!Q13)</f>
        <v/>
      </c>
      <c r="Z7" s="452" t="s">
        <v>16</v>
      </c>
      <c r="AA7" s="1561" t="s">
        <v>86</v>
      </c>
      <c r="AB7" s="1561"/>
      <c r="AC7" s="1561"/>
      <c r="AD7" s="1547" t="str">
        <f>CONCATENATE('01 使用承認申請書'!AB12)</f>
        <v>令和3</v>
      </c>
      <c r="AE7" s="1539" t="s">
        <v>18</v>
      </c>
      <c r="AF7" s="1545" t="str">
        <f>CONCATENATE('01 使用承認申請書'!AC14)</f>
        <v>10</v>
      </c>
      <c r="AG7" s="1546" t="s">
        <v>17</v>
      </c>
      <c r="AH7" s="1537" t="str">
        <f>CONCATENATE('01 使用承認申請書'!AF14)</f>
        <v>12</v>
      </c>
      <c r="AI7" s="1539" t="s">
        <v>16</v>
      </c>
      <c r="AJ7" s="1539" t="s">
        <v>43</v>
      </c>
      <c r="AK7" s="1537" t="str">
        <f>CONCATENATE('01 使用承認申請書'!AJ14)</f>
        <v>月</v>
      </c>
      <c r="AL7" s="1539" t="s">
        <v>42</v>
      </c>
      <c r="AM7" s="1539" t="s">
        <v>40</v>
      </c>
      <c r="AN7" s="1537" t="str">
        <f>CONCATENATE('01 使用承認申請書'!AC16)</f>
        <v>10</v>
      </c>
      <c r="AO7" s="1539" t="s">
        <v>17</v>
      </c>
      <c r="AP7" s="1537" t="str">
        <f>CONCATENATE('01 使用承認申請書'!AF16)</f>
        <v>13</v>
      </c>
      <c r="AQ7" s="1539" t="s">
        <v>16</v>
      </c>
      <c r="AR7" s="1539" t="s">
        <v>43</v>
      </c>
      <c r="AS7" s="1537" t="str">
        <f>CONCATENATE('01 使用承認申請書'!AJ16)</f>
        <v>火</v>
      </c>
      <c r="AT7" s="1539" t="s">
        <v>42</v>
      </c>
      <c r="AU7" s="359"/>
      <c r="AV7" s="431"/>
      <c r="AW7" s="710" t="str">
        <f>CONCATENATE('01 使用承認申請書'!AL13)</f>
        <v>1</v>
      </c>
      <c r="AX7" s="452" t="s">
        <v>51</v>
      </c>
      <c r="AY7" s="710" t="str">
        <f>CONCATENATE('01 使用承認申請書'!AQ13)</f>
        <v>2</v>
      </c>
      <c r="AZ7" s="452" t="s">
        <v>16</v>
      </c>
      <c r="BA7" s="96">
        <v>7</v>
      </c>
      <c r="BB7" s="96"/>
      <c r="BC7" s="97"/>
      <c r="BD7" s="96"/>
      <c r="BE7" s="96"/>
      <c r="BF7" s="97"/>
      <c r="BG7" s="96"/>
      <c r="BH7" s="96"/>
      <c r="BI7" s="96"/>
      <c r="BJ7" s="96"/>
      <c r="BK7" s="96"/>
      <c r="BL7" s="96"/>
      <c r="BM7" s="96"/>
      <c r="BN7" s="96"/>
      <c r="BO7" s="96"/>
      <c r="BP7" s="96"/>
      <c r="BQ7" s="96"/>
      <c r="BR7" s="98"/>
      <c r="BS7" s="98"/>
      <c r="BT7" s="98"/>
      <c r="BU7" s="98"/>
      <c r="BV7" s="98"/>
      <c r="BW7" s="98"/>
      <c r="BX7" s="98"/>
      <c r="BY7" s="98"/>
      <c r="BZ7" s="98"/>
      <c r="CA7" s="98"/>
    </row>
    <row r="8" spans="1:79" ht="13.5" customHeight="1" thickBot="1">
      <c r="A8" s="1562"/>
      <c r="B8" s="1562"/>
      <c r="C8" s="1562"/>
      <c r="D8" s="1548"/>
      <c r="E8" s="1540"/>
      <c r="F8" s="1538"/>
      <c r="G8" s="1540"/>
      <c r="H8" s="1538"/>
      <c r="I8" s="1540"/>
      <c r="J8" s="1540"/>
      <c r="K8" s="1538"/>
      <c r="L8" s="1540"/>
      <c r="M8" s="1540"/>
      <c r="N8" s="1538"/>
      <c r="O8" s="1540"/>
      <c r="P8" s="1538"/>
      <c r="Q8" s="1540"/>
      <c r="R8" s="1540"/>
      <c r="S8" s="1538"/>
      <c r="T8" s="1540"/>
      <c r="U8" s="453"/>
      <c r="V8" s="451"/>
      <c r="W8" s="1565" t="s">
        <v>52</v>
      </c>
      <c r="X8" s="1565"/>
      <c r="Y8" s="711" t="str">
        <f>CONCATENATE('01 使用承認申請書'!V13)</f>
        <v/>
      </c>
      <c r="Z8" s="453" t="s">
        <v>99</v>
      </c>
      <c r="AA8" s="1562"/>
      <c r="AB8" s="1562"/>
      <c r="AC8" s="1562"/>
      <c r="AD8" s="1548"/>
      <c r="AE8" s="1540"/>
      <c r="AF8" s="1538"/>
      <c r="AG8" s="1540"/>
      <c r="AH8" s="1538"/>
      <c r="AI8" s="1540"/>
      <c r="AJ8" s="1540"/>
      <c r="AK8" s="1538"/>
      <c r="AL8" s="1540"/>
      <c r="AM8" s="1540"/>
      <c r="AN8" s="1538"/>
      <c r="AO8" s="1540"/>
      <c r="AP8" s="1538"/>
      <c r="AQ8" s="1540"/>
      <c r="AR8" s="1540"/>
      <c r="AS8" s="1538"/>
      <c r="AT8" s="1540"/>
      <c r="AU8" s="374"/>
      <c r="AV8" s="434"/>
      <c r="AW8" s="1565" t="s">
        <v>52</v>
      </c>
      <c r="AX8" s="1565"/>
      <c r="AY8" s="370" t="str">
        <f>CONCATENATE('01 使用承認申請書'!AV13)</f>
        <v/>
      </c>
      <c r="AZ8" s="453" t="s">
        <v>16</v>
      </c>
      <c r="BA8" s="96">
        <v>8</v>
      </c>
      <c r="BB8" s="96"/>
      <c r="BC8" s="97"/>
      <c r="BD8" s="96"/>
      <c r="BE8" s="96"/>
      <c r="BF8" s="97"/>
      <c r="BG8" s="96"/>
      <c r="BH8" s="96"/>
      <c r="BI8" s="96"/>
      <c r="BJ8" s="96"/>
      <c r="BK8" s="96"/>
      <c r="BL8" s="96"/>
      <c r="BM8" s="96"/>
      <c r="BN8" s="96"/>
      <c r="BO8" s="96"/>
      <c r="BP8" s="96"/>
      <c r="BQ8" s="96"/>
      <c r="BR8" s="98"/>
      <c r="BS8" s="98"/>
      <c r="BT8" s="98"/>
      <c r="BU8" s="98"/>
      <c r="BV8" s="98"/>
      <c r="BW8" s="98"/>
      <c r="BX8" s="98"/>
      <c r="BY8" s="98"/>
      <c r="BZ8" s="98"/>
      <c r="CA8" s="98"/>
    </row>
    <row r="9" spans="1:79" ht="8.1" customHeight="1">
      <c r="A9" s="1566"/>
      <c r="B9" s="1566"/>
      <c r="C9" s="1566"/>
      <c r="D9" s="1566"/>
      <c r="E9" s="1566"/>
      <c r="F9" s="1566"/>
      <c r="G9" s="1566"/>
      <c r="H9" s="1566"/>
      <c r="I9" s="1566"/>
      <c r="J9" s="1566"/>
      <c r="K9" s="1566"/>
      <c r="L9" s="1566"/>
      <c r="M9" s="1566"/>
      <c r="N9" s="1566"/>
      <c r="O9" s="1566"/>
      <c r="P9" s="1566"/>
      <c r="Q9" s="1566"/>
      <c r="R9" s="1566"/>
      <c r="S9" s="1566"/>
      <c r="T9" s="1566"/>
      <c r="U9" s="1566"/>
      <c r="V9" s="1566"/>
      <c r="W9" s="1566"/>
      <c r="X9" s="1566"/>
      <c r="Y9" s="1566"/>
      <c r="Z9" s="1566"/>
      <c r="AA9" s="1566"/>
      <c r="AB9" s="1566"/>
      <c r="AC9" s="1566"/>
      <c r="AD9" s="1566"/>
      <c r="AE9" s="1566"/>
      <c r="AF9" s="1566"/>
      <c r="AG9" s="1566"/>
      <c r="AH9" s="1566"/>
      <c r="AI9" s="1566"/>
      <c r="AJ9" s="1566"/>
      <c r="AK9" s="1566"/>
      <c r="AL9" s="1566"/>
      <c r="AM9" s="1566"/>
      <c r="AN9" s="1566"/>
      <c r="AO9" s="1566"/>
      <c r="AP9" s="1566"/>
      <c r="AQ9" s="1566"/>
      <c r="AR9" s="1566"/>
      <c r="AS9" s="1566"/>
      <c r="AT9" s="1566"/>
      <c r="AU9" s="1566"/>
      <c r="AV9" s="1566"/>
      <c r="AW9" s="1566"/>
      <c r="AX9" s="1566"/>
      <c r="AY9" s="1566"/>
      <c r="AZ9" s="1566"/>
      <c r="BA9" s="96">
        <v>9</v>
      </c>
      <c r="BB9" s="96"/>
      <c r="BC9" s="97"/>
      <c r="BD9" s="96"/>
      <c r="BE9" s="96"/>
      <c r="BF9" s="97"/>
      <c r="BG9" s="96"/>
      <c r="BH9" s="96"/>
      <c r="BI9" s="96"/>
      <c r="BJ9" s="96"/>
      <c r="BK9" s="96"/>
      <c r="BL9" s="96"/>
      <c r="BM9" s="96"/>
      <c r="BN9" s="96"/>
      <c r="BO9" s="96"/>
      <c r="BP9" s="96"/>
      <c r="BQ9" s="96"/>
      <c r="BR9" s="98"/>
      <c r="BS9" s="98"/>
      <c r="BT9" s="98"/>
      <c r="BU9" s="98"/>
      <c r="BV9" s="98"/>
      <c r="BW9" s="98"/>
      <c r="BX9" s="98"/>
      <c r="BY9" s="98"/>
      <c r="BZ9" s="98"/>
      <c r="CA9" s="98"/>
    </row>
    <row r="10" spans="1:79" ht="16.5" customHeight="1" thickBot="1">
      <c r="A10" s="1563" t="s">
        <v>2919</v>
      </c>
      <c r="B10" s="1563"/>
      <c r="C10" s="1563"/>
      <c r="D10" s="1563"/>
      <c r="E10" s="1563"/>
      <c r="F10" s="1563"/>
      <c r="G10" s="1563"/>
      <c r="H10" s="1563"/>
      <c r="I10" s="1563"/>
      <c r="J10" s="1563"/>
      <c r="K10" s="1563"/>
      <c r="L10" s="1563"/>
      <c r="M10" s="1563"/>
      <c r="N10" s="1563"/>
      <c r="O10" s="1563"/>
      <c r="P10" s="1563"/>
      <c r="Q10" s="1563"/>
      <c r="R10" s="1563"/>
      <c r="S10" s="1563"/>
      <c r="T10" s="1563"/>
      <c r="U10" s="1563"/>
      <c r="V10" s="1563"/>
      <c r="W10" s="1563"/>
      <c r="X10" s="1563"/>
      <c r="Y10" s="1563"/>
      <c r="Z10" s="1563"/>
      <c r="AA10" s="1563" t="s">
        <v>2919</v>
      </c>
      <c r="AB10" s="1563"/>
      <c r="AC10" s="1563"/>
      <c r="AD10" s="1563"/>
      <c r="AE10" s="1563"/>
      <c r="AF10" s="1563"/>
      <c r="AG10" s="1563"/>
      <c r="AH10" s="1563"/>
      <c r="AI10" s="1563"/>
      <c r="AJ10" s="1563"/>
      <c r="AK10" s="1563"/>
      <c r="AL10" s="1563"/>
      <c r="AM10" s="1563"/>
      <c r="AN10" s="1563"/>
      <c r="AO10" s="1563"/>
      <c r="AP10" s="1563"/>
      <c r="AQ10" s="1563"/>
      <c r="AR10" s="1563"/>
      <c r="AS10" s="1563"/>
      <c r="AT10" s="1563"/>
      <c r="AU10" s="1563"/>
      <c r="AV10" s="1563"/>
      <c r="AW10" s="1563"/>
      <c r="AX10" s="1563"/>
      <c r="AY10" s="1563"/>
      <c r="AZ10" s="1563"/>
      <c r="BA10" s="96">
        <v>10</v>
      </c>
      <c r="BB10" s="96"/>
      <c r="BC10" s="97"/>
      <c r="BD10" s="96"/>
      <c r="BE10" s="96"/>
      <c r="BF10" s="97"/>
      <c r="BG10" s="96"/>
      <c r="BH10" s="96"/>
      <c r="BI10" s="96"/>
      <c r="BJ10" s="96"/>
      <c r="BK10" s="96"/>
      <c r="BL10" s="96"/>
      <c r="BM10" s="96"/>
      <c r="BN10" s="96"/>
      <c r="BO10" s="96"/>
      <c r="BP10" s="96"/>
      <c r="BQ10" s="96"/>
      <c r="BR10" s="98"/>
      <c r="BS10" s="98"/>
      <c r="BT10" s="98"/>
      <c r="BU10" s="98"/>
      <c r="BV10" s="98"/>
      <c r="BW10" s="98"/>
      <c r="BX10" s="98"/>
      <c r="BY10" s="98"/>
      <c r="BZ10" s="98"/>
      <c r="CA10" s="98"/>
    </row>
    <row r="11" spans="1:79" ht="13.5" customHeight="1">
      <c r="A11" s="1583" t="s">
        <v>1892</v>
      </c>
      <c r="B11" s="1584"/>
      <c r="C11" s="460" t="s">
        <v>323</v>
      </c>
      <c r="D11" s="1549" t="s">
        <v>100</v>
      </c>
      <c r="E11" s="1549"/>
      <c r="F11" s="1549"/>
      <c r="G11" s="1549"/>
      <c r="H11" s="1549"/>
      <c r="I11" s="1549"/>
      <c r="J11" s="724" t="s">
        <v>323</v>
      </c>
      <c r="K11" s="1553" t="str">
        <f>IF(A54=TRUE,IF(A55=TRUE,"!再度確認!","提出してください"),IF(A55=FALSE,"!再度確認!","必要ありません"))</f>
        <v>!再度確認!</v>
      </c>
      <c r="L11" s="1554"/>
      <c r="M11" s="1554"/>
      <c r="N11" s="1554"/>
      <c r="O11" s="1555" t="s">
        <v>325</v>
      </c>
      <c r="P11" s="1556"/>
      <c r="Q11" s="1556"/>
      <c r="R11" s="1556"/>
      <c r="S11" s="1556"/>
      <c r="T11" s="1556"/>
      <c r="U11" s="1556"/>
      <c r="V11" s="1556"/>
      <c r="W11" s="1556"/>
      <c r="X11" s="1556"/>
      <c r="Y11" s="1556"/>
      <c r="Z11" s="1557"/>
      <c r="AA11" s="1611" t="s">
        <v>1892</v>
      </c>
      <c r="AB11" s="1612"/>
      <c r="AC11" s="436" t="s">
        <v>322</v>
      </c>
      <c r="AD11" s="1551" t="s">
        <v>100</v>
      </c>
      <c r="AE11" s="1551"/>
      <c r="AF11" s="1551"/>
      <c r="AG11" s="1551"/>
      <c r="AH11" s="1551"/>
      <c r="AI11" s="1551"/>
      <c r="AJ11" s="358" t="s">
        <v>322</v>
      </c>
      <c r="AK11" s="1613" t="s">
        <v>2946</v>
      </c>
      <c r="AL11" s="1614"/>
      <c r="AM11" s="1614"/>
      <c r="AN11" s="1614"/>
      <c r="AO11" s="1555" t="s">
        <v>325</v>
      </c>
      <c r="AP11" s="1556"/>
      <c r="AQ11" s="1556"/>
      <c r="AR11" s="1556"/>
      <c r="AS11" s="1556"/>
      <c r="AT11" s="1556"/>
      <c r="AU11" s="1556"/>
      <c r="AV11" s="1556"/>
      <c r="AW11" s="1556"/>
      <c r="AX11" s="1556"/>
      <c r="AY11" s="1556"/>
      <c r="AZ11" s="1557"/>
      <c r="BA11" s="96">
        <v>11</v>
      </c>
      <c r="BB11" s="96"/>
      <c r="BC11" s="97"/>
      <c r="BD11" s="96"/>
      <c r="BE11" s="96"/>
      <c r="BF11" s="97"/>
      <c r="BG11" s="96"/>
      <c r="BH11" s="96"/>
      <c r="BI11" s="96"/>
      <c r="BJ11" s="96"/>
      <c r="BK11" s="96"/>
      <c r="BL11" s="96"/>
      <c r="BM11" s="96"/>
      <c r="BN11" s="96"/>
      <c r="BO11" s="96"/>
      <c r="BP11" s="96"/>
      <c r="BQ11" s="96"/>
      <c r="BR11" s="98"/>
      <c r="BS11" s="98"/>
      <c r="BT11" s="98"/>
      <c r="BU11" s="98"/>
      <c r="BV11" s="98"/>
      <c r="BW11" s="98"/>
      <c r="BX11" s="98"/>
      <c r="BY11" s="98"/>
      <c r="BZ11" s="98"/>
      <c r="CA11" s="98"/>
    </row>
    <row r="12" spans="1:79" ht="13.5" customHeight="1" thickBot="1">
      <c r="A12" s="1585" t="s">
        <v>1893</v>
      </c>
      <c r="B12" s="1586"/>
      <c r="C12" s="460" t="s">
        <v>322</v>
      </c>
      <c r="D12" s="1550"/>
      <c r="E12" s="1550"/>
      <c r="F12" s="1550"/>
      <c r="G12" s="1550"/>
      <c r="H12" s="1550"/>
      <c r="I12" s="1550"/>
      <c r="J12" s="724" t="s">
        <v>322</v>
      </c>
      <c r="K12" s="1553"/>
      <c r="L12" s="1554"/>
      <c r="M12" s="1554"/>
      <c r="N12" s="1554"/>
      <c r="O12" s="1558"/>
      <c r="P12" s="1559"/>
      <c r="Q12" s="1559"/>
      <c r="R12" s="1559"/>
      <c r="S12" s="1559"/>
      <c r="T12" s="1559"/>
      <c r="U12" s="1559"/>
      <c r="V12" s="1559"/>
      <c r="W12" s="1559"/>
      <c r="X12" s="1559"/>
      <c r="Y12" s="1559"/>
      <c r="Z12" s="1560"/>
      <c r="AA12" s="1585" t="s">
        <v>1893</v>
      </c>
      <c r="AB12" s="1586"/>
      <c r="AC12" s="436" t="s">
        <v>322</v>
      </c>
      <c r="AD12" s="1552"/>
      <c r="AE12" s="1552"/>
      <c r="AF12" s="1552"/>
      <c r="AG12" s="1552"/>
      <c r="AH12" s="1552"/>
      <c r="AI12" s="1552"/>
      <c r="AJ12" s="358" t="s">
        <v>322</v>
      </c>
      <c r="AK12" s="1613"/>
      <c r="AL12" s="1614"/>
      <c r="AM12" s="1614"/>
      <c r="AN12" s="1614"/>
      <c r="AO12" s="1558"/>
      <c r="AP12" s="1559"/>
      <c r="AQ12" s="1559"/>
      <c r="AR12" s="1559"/>
      <c r="AS12" s="1559"/>
      <c r="AT12" s="1559"/>
      <c r="AU12" s="1559"/>
      <c r="AV12" s="1559"/>
      <c r="AW12" s="1559"/>
      <c r="AX12" s="1559"/>
      <c r="AY12" s="1559"/>
      <c r="AZ12" s="1560"/>
      <c r="BA12" s="96">
        <v>12</v>
      </c>
      <c r="BB12" s="96"/>
      <c r="BC12" s="97"/>
      <c r="BD12" s="96"/>
      <c r="BE12" s="96"/>
      <c r="BF12" s="97"/>
      <c r="BG12" s="96"/>
      <c r="BH12" s="96"/>
      <c r="BI12" s="96"/>
      <c r="BJ12" s="96"/>
      <c r="BK12" s="96"/>
      <c r="BL12" s="96"/>
      <c r="BM12" s="96"/>
      <c r="BN12" s="96"/>
      <c r="BO12" s="96"/>
      <c r="BP12" s="96"/>
      <c r="BQ12" s="96"/>
      <c r="BR12" s="98"/>
      <c r="BS12" s="98"/>
      <c r="BT12" s="98"/>
      <c r="BU12" s="98"/>
      <c r="BV12" s="98"/>
      <c r="BW12" s="98"/>
      <c r="BX12" s="98"/>
      <c r="BY12" s="98"/>
      <c r="BZ12" s="98"/>
      <c r="CA12" s="98"/>
    </row>
    <row r="13" spans="1:79" ht="8.1" customHeight="1">
      <c r="A13" s="450"/>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35"/>
      <c r="AB13" s="435"/>
      <c r="AC13" s="435"/>
      <c r="AD13" s="435"/>
      <c r="AE13" s="435"/>
      <c r="AF13" s="435"/>
      <c r="AG13" s="435"/>
      <c r="AH13" s="435"/>
      <c r="AI13" s="435"/>
      <c r="AJ13" s="435"/>
      <c r="AK13" s="435"/>
      <c r="AL13" s="435"/>
      <c r="AM13" s="435"/>
      <c r="AN13" s="435"/>
      <c r="AO13" s="435"/>
      <c r="AP13" s="447"/>
      <c r="AQ13" s="435"/>
      <c r="AR13" s="435"/>
      <c r="AS13" s="435"/>
      <c r="AT13" s="435"/>
      <c r="AU13" s="435"/>
      <c r="AV13" s="435"/>
      <c r="AW13" s="435"/>
      <c r="AX13" s="435"/>
      <c r="AY13" s="435"/>
      <c r="AZ13" s="435"/>
      <c r="BA13" s="96">
        <v>13</v>
      </c>
      <c r="BB13" s="96"/>
      <c r="BC13" s="97"/>
      <c r="BD13" s="96"/>
      <c r="BE13" s="96"/>
      <c r="BF13" s="97"/>
      <c r="BG13" s="96"/>
      <c r="BH13" s="96"/>
      <c r="BI13" s="96"/>
      <c r="BJ13" s="96"/>
      <c r="BK13" s="96"/>
      <c r="BL13" s="96"/>
      <c r="BM13" s="96"/>
      <c r="BN13" s="96"/>
      <c r="BO13" s="96"/>
      <c r="BP13" s="96"/>
      <c r="BQ13" s="96"/>
      <c r="BR13" s="98"/>
      <c r="BS13" s="98"/>
      <c r="BT13" s="98"/>
      <c r="BU13" s="98"/>
      <c r="BV13" s="98"/>
      <c r="BW13" s="98"/>
      <c r="BX13" s="98"/>
      <c r="BY13" s="98"/>
      <c r="BZ13" s="98"/>
      <c r="CA13" s="98"/>
    </row>
    <row r="14" spans="1:79" ht="18.95" customHeight="1" thickBot="1">
      <c r="A14" s="1587" t="s">
        <v>2918</v>
      </c>
      <c r="B14" s="1587"/>
      <c r="C14" s="1587"/>
      <c r="D14" s="1587"/>
      <c r="E14" s="1587"/>
      <c r="F14" s="1587"/>
      <c r="G14" s="1587"/>
      <c r="H14" s="1587"/>
      <c r="I14" s="1587"/>
      <c r="J14" s="1587"/>
      <c r="K14" s="1587"/>
      <c r="L14" s="1587"/>
      <c r="M14" s="1587"/>
      <c r="N14" s="1587"/>
      <c r="O14" s="1587"/>
      <c r="P14" s="1587"/>
      <c r="Q14" s="1587"/>
      <c r="R14" s="1587"/>
      <c r="S14" s="1587"/>
      <c r="T14" s="1587"/>
      <c r="U14" s="1587"/>
      <c r="V14" s="1587"/>
      <c r="W14" s="1587"/>
      <c r="X14" s="1587"/>
      <c r="Y14" s="1587"/>
      <c r="Z14" s="1587"/>
      <c r="AA14" s="1587" t="s">
        <v>2918</v>
      </c>
      <c r="AB14" s="1587"/>
      <c r="AC14" s="1587"/>
      <c r="AD14" s="1587"/>
      <c r="AE14" s="1587"/>
      <c r="AF14" s="1587"/>
      <c r="AG14" s="1587"/>
      <c r="AH14" s="1587"/>
      <c r="AI14" s="1587"/>
      <c r="AJ14" s="1587"/>
      <c r="AK14" s="1587"/>
      <c r="AL14" s="1587"/>
      <c r="AM14" s="1587"/>
      <c r="AN14" s="1587"/>
      <c r="AO14" s="1587"/>
      <c r="AP14" s="1587"/>
      <c r="AQ14" s="1587"/>
      <c r="AR14" s="1587"/>
      <c r="AS14" s="1587"/>
      <c r="AT14" s="1587"/>
      <c r="AU14" s="1587"/>
      <c r="AV14" s="1587"/>
      <c r="AW14" s="1587"/>
      <c r="AX14" s="1587"/>
      <c r="AY14" s="1587"/>
      <c r="AZ14" s="1587"/>
      <c r="BA14" s="96">
        <v>14</v>
      </c>
      <c r="BB14" s="96"/>
      <c r="BC14" s="97"/>
      <c r="BD14" s="96"/>
      <c r="BE14" s="96"/>
      <c r="BF14" s="97"/>
      <c r="BG14" s="96"/>
      <c r="BH14" s="96"/>
      <c r="BI14" s="96"/>
      <c r="BJ14" s="96"/>
      <c r="BK14" s="96"/>
      <c r="BL14" s="96"/>
      <c r="BM14" s="96"/>
      <c r="BN14" s="96"/>
      <c r="BO14" s="96"/>
      <c r="BP14" s="96"/>
      <c r="BQ14" s="96"/>
      <c r="BR14" s="98"/>
      <c r="BS14" s="98"/>
      <c r="BT14" s="98"/>
      <c r="BU14" s="98"/>
      <c r="BV14" s="98"/>
      <c r="BW14" s="98"/>
      <c r="BX14" s="98"/>
      <c r="BY14" s="98"/>
      <c r="BZ14" s="98"/>
      <c r="CA14" s="98"/>
    </row>
    <row r="15" spans="1:79">
      <c r="A15" s="1627" t="s">
        <v>324</v>
      </c>
      <c r="B15" s="1628"/>
      <c r="C15" s="1628"/>
      <c r="D15" s="1628"/>
      <c r="E15" s="1628"/>
      <c r="F15" s="1628"/>
      <c r="G15" s="1628"/>
      <c r="H15" s="1628"/>
      <c r="I15" s="1628"/>
      <c r="J15" s="1628"/>
      <c r="K15" s="1628"/>
      <c r="L15" s="1628"/>
      <c r="M15" s="1629"/>
      <c r="N15" s="1633" t="s">
        <v>322</v>
      </c>
      <c r="O15" s="1583" t="s">
        <v>1892</v>
      </c>
      <c r="P15" s="1584"/>
      <c r="Q15" s="1634" t="s">
        <v>323</v>
      </c>
      <c r="R15" s="1636" t="str">
        <f>IF(B54=TRUE,IF(B55=TRUE,"!再度確認!","青少年山の家までご連絡ください"),IF(B55=FALSE,"!再度確認!","連絡の必要はありません"))</f>
        <v>!再度確認!</v>
      </c>
      <c r="S15" s="1636"/>
      <c r="T15" s="1636"/>
      <c r="U15" s="1636" t="str">
        <f>IF(K58=TRUE,IF(K59=TRUE,"!再度確認!","提出"),IF(K59=FALSE,"!再度確認!","いりません"))</f>
        <v>!再度確認!</v>
      </c>
      <c r="V15" s="1636"/>
      <c r="W15" s="1636"/>
      <c r="X15" s="1636" t="str">
        <f>IF(N58=TRUE,IF(N59=TRUE,"!再度確認!","提出"),IF(N59=FALSE,"!再度確認!","いりません"))</f>
        <v>!再度確認!</v>
      </c>
      <c r="Y15" s="1636"/>
      <c r="Z15" s="1637"/>
      <c r="AA15" s="1615" t="s">
        <v>324</v>
      </c>
      <c r="AB15" s="1616"/>
      <c r="AC15" s="1616"/>
      <c r="AD15" s="1616"/>
      <c r="AE15" s="1616"/>
      <c r="AF15" s="1616"/>
      <c r="AG15" s="1616"/>
      <c r="AH15" s="1616"/>
      <c r="AI15" s="1616"/>
      <c r="AJ15" s="1616"/>
      <c r="AK15" s="1616"/>
      <c r="AL15" s="1616"/>
      <c r="AM15" s="1617"/>
      <c r="AN15" s="1626" t="s">
        <v>322</v>
      </c>
      <c r="AO15" s="1583" t="s">
        <v>1892</v>
      </c>
      <c r="AP15" s="1584"/>
      <c r="AQ15" s="1621" t="s">
        <v>322</v>
      </c>
      <c r="AR15" s="1567" t="s">
        <v>2945</v>
      </c>
      <c r="AS15" s="1567"/>
      <c r="AT15" s="1567"/>
      <c r="AU15" s="1567" t="str">
        <f>IF(AK58=TRUE,IF(AK59=TRUE,"!再度確認!","提出"),IF(AK59=FALSE,"!再度確認!","いりません"))</f>
        <v>!再度確認!</v>
      </c>
      <c r="AV15" s="1567"/>
      <c r="AW15" s="1567"/>
      <c r="AX15" s="1567" t="str">
        <f>IF(AN58=TRUE,IF(AN59=TRUE,"!再度確認!","提出"),IF(AN59=FALSE,"!再度確認!","いりません"))</f>
        <v>!再度確認!</v>
      </c>
      <c r="AY15" s="1567"/>
      <c r="AZ15" s="1568"/>
      <c r="BA15" s="96">
        <v>15</v>
      </c>
      <c r="BB15" s="96"/>
      <c r="BC15" s="97"/>
      <c r="BD15" s="96"/>
      <c r="BE15" s="96"/>
      <c r="BF15" s="97"/>
      <c r="BG15" s="96"/>
      <c r="BH15" s="96"/>
      <c r="BI15" s="96"/>
      <c r="BJ15" s="96"/>
      <c r="BK15" s="96"/>
      <c r="BL15" s="96"/>
      <c r="BM15" s="96"/>
      <c r="BN15" s="96"/>
      <c r="BO15" s="96"/>
      <c r="BP15" s="96"/>
      <c r="BQ15" s="96"/>
      <c r="BR15" s="98"/>
      <c r="BS15" s="98"/>
      <c r="BT15" s="98"/>
      <c r="BU15" s="98"/>
      <c r="BV15" s="98"/>
      <c r="BW15" s="98"/>
      <c r="BX15" s="98"/>
      <c r="BY15" s="98"/>
      <c r="BZ15" s="98"/>
      <c r="CA15" s="98"/>
    </row>
    <row r="16" spans="1:79" ht="14.25" thickBot="1">
      <c r="A16" s="1630"/>
      <c r="B16" s="1631"/>
      <c r="C16" s="1631"/>
      <c r="D16" s="1631"/>
      <c r="E16" s="1631"/>
      <c r="F16" s="1631"/>
      <c r="G16" s="1631"/>
      <c r="H16" s="1631"/>
      <c r="I16" s="1631"/>
      <c r="J16" s="1631"/>
      <c r="K16" s="1631"/>
      <c r="L16" s="1631"/>
      <c r="M16" s="1632"/>
      <c r="N16" s="1633"/>
      <c r="O16" s="1585" t="s">
        <v>1893</v>
      </c>
      <c r="P16" s="1586"/>
      <c r="Q16" s="1635"/>
      <c r="R16" s="1638"/>
      <c r="S16" s="1638"/>
      <c r="T16" s="1638"/>
      <c r="U16" s="1638"/>
      <c r="V16" s="1638"/>
      <c r="W16" s="1638"/>
      <c r="X16" s="1638"/>
      <c r="Y16" s="1638"/>
      <c r="Z16" s="1639"/>
      <c r="AA16" s="1618"/>
      <c r="AB16" s="1619"/>
      <c r="AC16" s="1619"/>
      <c r="AD16" s="1619"/>
      <c r="AE16" s="1619"/>
      <c r="AF16" s="1619"/>
      <c r="AG16" s="1619"/>
      <c r="AH16" s="1619"/>
      <c r="AI16" s="1619"/>
      <c r="AJ16" s="1619"/>
      <c r="AK16" s="1619"/>
      <c r="AL16" s="1619"/>
      <c r="AM16" s="1620"/>
      <c r="AN16" s="1626"/>
      <c r="AO16" s="1623" t="s">
        <v>1893</v>
      </c>
      <c r="AP16" s="1624"/>
      <c r="AQ16" s="1622"/>
      <c r="AR16" s="1569"/>
      <c r="AS16" s="1569"/>
      <c r="AT16" s="1569"/>
      <c r="AU16" s="1569"/>
      <c r="AV16" s="1569"/>
      <c r="AW16" s="1569"/>
      <c r="AX16" s="1569"/>
      <c r="AY16" s="1569"/>
      <c r="AZ16" s="1570"/>
      <c r="BA16" s="96">
        <v>16</v>
      </c>
      <c r="BB16" s="96"/>
      <c r="BC16" s="97"/>
      <c r="BD16" s="96"/>
      <c r="BE16" s="96"/>
      <c r="BF16" s="97"/>
      <c r="BG16" s="96"/>
      <c r="BH16" s="96"/>
      <c r="BI16" s="96"/>
      <c r="BJ16" s="96"/>
      <c r="BK16" s="96"/>
      <c r="BL16" s="96"/>
      <c r="BM16" s="96"/>
      <c r="BN16" s="96"/>
      <c r="BO16" s="96"/>
      <c r="BP16" s="96"/>
      <c r="BQ16" s="96"/>
      <c r="BR16" s="98"/>
      <c r="BS16" s="98"/>
      <c r="BT16" s="98"/>
      <c r="BU16" s="98"/>
      <c r="BV16" s="98"/>
      <c r="BW16" s="98"/>
      <c r="BX16" s="98"/>
      <c r="BY16" s="98"/>
      <c r="BZ16" s="98"/>
      <c r="CA16" s="98"/>
    </row>
    <row r="17" spans="1:79" ht="8.1" customHeight="1">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96">
        <v>17</v>
      </c>
      <c r="BB17" s="96"/>
      <c r="BC17" s="99"/>
      <c r="BD17" s="96"/>
      <c r="BE17" s="96"/>
      <c r="BF17" s="97"/>
      <c r="BG17" s="96"/>
      <c r="BH17" s="96"/>
      <c r="BI17" s="96"/>
      <c r="BJ17" s="96"/>
      <c r="BK17" s="96"/>
      <c r="BL17" s="96"/>
      <c r="BM17" s="96"/>
      <c r="BN17" s="96"/>
      <c r="BO17" s="96"/>
      <c r="BP17" s="96"/>
      <c r="BQ17" s="96"/>
      <c r="BR17" s="98"/>
      <c r="BS17" s="98"/>
      <c r="BT17" s="98"/>
      <c r="BU17" s="98"/>
      <c r="BV17" s="98"/>
      <c r="BW17" s="98"/>
      <c r="BX17" s="98"/>
      <c r="BY17" s="98"/>
      <c r="BZ17" s="98"/>
      <c r="CA17" s="98"/>
    </row>
    <row r="18" spans="1:79" ht="18" customHeight="1">
      <c r="A18" s="1588" t="s">
        <v>2917</v>
      </c>
      <c r="B18" s="1588"/>
      <c r="C18" s="1588"/>
      <c r="D18" s="1588"/>
      <c r="E18" s="1588"/>
      <c r="F18" s="1588"/>
      <c r="G18" s="1588"/>
      <c r="H18" s="1588"/>
      <c r="I18" s="1588"/>
      <c r="J18" s="1588"/>
      <c r="K18" s="1588"/>
      <c r="L18" s="1588"/>
      <c r="M18" s="1588"/>
      <c r="N18" s="1588"/>
      <c r="O18" s="1588"/>
      <c r="P18" s="1588"/>
      <c r="Q18" s="1588"/>
      <c r="R18" s="1588"/>
      <c r="S18" s="1588"/>
      <c r="T18" s="1588"/>
      <c r="U18" s="1588"/>
      <c r="V18" s="1588"/>
      <c r="W18" s="1588"/>
      <c r="X18" s="1588"/>
      <c r="Y18" s="1588"/>
      <c r="Z18" s="1588"/>
      <c r="AA18" s="1588" t="s">
        <v>2917</v>
      </c>
      <c r="AB18" s="1588"/>
      <c r="AC18" s="1588"/>
      <c r="AD18" s="1588"/>
      <c r="AE18" s="1588"/>
      <c r="AF18" s="1588"/>
      <c r="AG18" s="1588"/>
      <c r="AH18" s="1588"/>
      <c r="AI18" s="1588"/>
      <c r="AJ18" s="1588"/>
      <c r="AK18" s="1588"/>
      <c r="AL18" s="1588"/>
      <c r="AM18" s="1588"/>
      <c r="AN18" s="1588"/>
      <c r="AO18" s="1588"/>
      <c r="AP18" s="1588"/>
      <c r="AQ18" s="1588"/>
      <c r="AR18" s="1588"/>
      <c r="AS18" s="1588"/>
      <c r="AT18" s="1588"/>
      <c r="AU18" s="1588"/>
      <c r="AV18" s="1588"/>
      <c r="AW18" s="1588"/>
      <c r="AX18" s="1588"/>
      <c r="AY18" s="1588"/>
      <c r="AZ18" s="1588"/>
      <c r="BA18" s="96">
        <v>18</v>
      </c>
      <c r="BB18" s="96"/>
      <c r="BC18" s="97"/>
      <c r="BD18" s="96"/>
      <c r="BE18" s="96"/>
      <c r="BF18" s="97"/>
      <c r="BG18" s="96"/>
      <c r="BH18" s="96"/>
      <c r="BI18" s="96"/>
      <c r="BJ18" s="96"/>
      <c r="BK18" s="96"/>
      <c r="BL18" s="96"/>
      <c r="BM18" s="96"/>
      <c r="BN18" s="96"/>
      <c r="BO18" s="96"/>
      <c r="BP18" s="96"/>
      <c r="BQ18" s="96"/>
      <c r="BR18" s="98"/>
      <c r="BS18" s="98"/>
      <c r="BT18" s="98"/>
      <c r="BU18" s="98"/>
      <c r="BV18" s="98"/>
      <c r="BW18" s="98"/>
      <c r="BX18" s="98"/>
      <c r="BY18" s="98"/>
      <c r="BZ18" s="98"/>
      <c r="CA18" s="98"/>
    </row>
    <row r="19" spans="1:79" ht="30" customHeight="1">
      <c r="A19" s="1544" t="s">
        <v>2915</v>
      </c>
      <c r="B19" s="1543"/>
      <c r="C19" s="1543"/>
      <c r="D19" s="1543"/>
      <c r="E19" s="1543"/>
      <c r="F19" s="1543"/>
      <c r="G19" s="1543"/>
      <c r="H19" s="1543"/>
      <c r="I19" s="1543"/>
      <c r="J19" s="1543"/>
      <c r="K19" s="1543"/>
      <c r="L19" s="1543"/>
      <c r="M19" s="1543"/>
      <c r="N19" s="1543"/>
      <c r="O19" s="1543"/>
      <c r="P19" s="1543"/>
      <c r="Q19" s="1543"/>
      <c r="R19" s="1543"/>
      <c r="S19" s="1543"/>
      <c r="T19" s="1543"/>
      <c r="U19" s="1543"/>
      <c r="V19" s="1543"/>
      <c r="W19" s="1543"/>
      <c r="X19" s="1543"/>
      <c r="Y19" s="1543"/>
      <c r="Z19" s="1543"/>
      <c r="AA19" s="1544" t="s">
        <v>2915</v>
      </c>
      <c r="AB19" s="1543"/>
      <c r="AC19" s="1543"/>
      <c r="AD19" s="1543"/>
      <c r="AE19" s="1543"/>
      <c r="AF19" s="1543"/>
      <c r="AG19" s="1543"/>
      <c r="AH19" s="1543"/>
      <c r="AI19" s="1543"/>
      <c r="AJ19" s="1543"/>
      <c r="AK19" s="1543"/>
      <c r="AL19" s="1543"/>
      <c r="AM19" s="1543"/>
      <c r="AN19" s="1543"/>
      <c r="AO19" s="1543"/>
      <c r="AP19" s="1543"/>
      <c r="AQ19" s="1543"/>
      <c r="AR19" s="1543"/>
      <c r="AS19" s="1543"/>
      <c r="AT19" s="1543"/>
      <c r="AU19" s="1543"/>
      <c r="AV19" s="1543"/>
      <c r="AW19" s="1543"/>
      <c r="AX19" s="1543"/>
      <c r="AY19" s="1543"/>
      <c r="AZ19" s="1543"/>
      <c r="BA19" s="96">
        <v>19</v>
      </c>
      <c r="BB19" s="96"/>
      <c r="BC19" s="97"/>
      <c r="BD19" s="96"/>
      <c r="BE19" s="96"/>
      <c r="BF19" s="97"/>
      <c r="BG19" s="96"/>
      <c r="BH19" s="96"/>
      <c r="BI19" s="96"/>
      <c r="BJ19" s="96"/>
      <c r="BK19" s="96"/>
      <c r="BL19" s="96"/>
      <c r="BM19" s="96"/>
      <c r="BN19" s="96"/>
      <c r="BO19" s="96"/>
      <c r="BP19" s="96"/>
      <c r="BQ19" s="96"/>
      <c r="BR19" s="98"/>
      <c r="BS19" s="98"/>
      <c r="BT19" s="98"/>
      <c r="BU19" s="98"/>
      <c r="BV19" s="98"/>
      <c r="BW19" s="98"/>
      <c r="BX19" s="98"/>
      <c r="BY19" s="98"/>
      <c r="BZ19" s="98"/>
      <c r="CA19" s="98"/>
    </row>
    <row r="20" spans="1:79" ht="18" customHeight="1">
      <c r="A20" s="1543" t="s">
        <v>2944</v>
      </c>
      <c r="B20" s="1543"/>
      <c r="C20" s="1543"/>
      <c r="D20" s="1543"/>
      <c r="E20" s="1543"/>
      <c r="F20" s="1543"/>
      <c r="G20" s="1543"/>
      <c r="H20" s="1543"/>
      <c r="I20" s="1543"/>
      <c r="J20" s="1543"/>
      <c r="K20" s="1543"/>
      <c r="L20" s="1543"/>
      <c r="M20" s="1543"/>
      <c r="N20" s="1543"/>
      <c r="O20" s="1543"/>
      <c r="P20" s="1543"/>
      <c r="Q20" s="1543"/>
      <c r="R20" s="1543"/>
      <c r="S20" s="1543"/>
      <c r="T20" s="1543"/>
      <c r="U20" s="1543"/>
      <c r="V20" s="1543"/>
      <c r="W20" s="1543"/>
      <c r="X20" s="1543"/>
      <c r="Y20" s="1543"/>
      <c r="Z20" s="1543"/>
      <c r="AA20" s="1543" t="s">
        <v>2914</v>
      </c>
      <c r="AB20" s="1543"/>
      <c r="AC20" s="1543"/>
      <c r="AD20" s="1543"/>
      <c r="AE20" s="1543"/>
      <c r="AF20" s="1543"/>
      <c r="AG20" s="1543"/>
      <c r="AH20" s="1543"/>
      <c r="AI20" s="1543"/>
      <c r="AJ20" s="1543"/>
      <c r="AK20" s="1543"/>
      <c r="AL20" s="1543"/>
      <c r="AM20" s="1543"/>
      <c r="AN20" s="1543"/>
      <c r="AO20" s="1543"/>
      <c r="AP20" s="1543"/>
      <c r="AQ20" s="1543"/>
      <c r="AR20" s="1543"/>
      <c r="AS20" s="1543"/>
      <c r="AT20" s="1543"/>
      <c r="AU20" s="1543"/>
      <c r="AV20" s="1543"/>
      <c r="AW20" s="1543"/>
      <c r="AX20" s="1543"/>
      <c r="AY20" s="1543"/>
      <c r="AZ20" s="1543"/>
      <c r="BA20" s="96">
        <v>20</v>
      </c>
      <c r="BB20" s="96"/>
      <c r="BC20" s="97"/>
      <c r="BD20" s="96"/>
      <c r="BE20" s="96"/>
      <c r="BF20" s="97"/>
      <c r="BG20" s="96"/>
      <c r="BH20" s="96"/>
      <c r="BI20" s="96"/>
      <c r="BJ20" s="96"/>
      <c r="BK20" s="96"/>
      <c r="BL20" s="96"/>
      <c r="BM20" s="96"/>
      <c r="BN20" s="96"/>
      <c r="BO20" s="96"/>
      <c r="BP20" s="96"/>
      <c r="BQ20" s="96"/>
      <c r="BR20" s="98"/>
      <c r="BS20" s="98"/>
      <c r="BT20" s="98"/>
      <c r="BU20" s="98"/>
      <c r="BV20" s="98"/>
      <c r="BW20" s="98"/>
      <c r="BX20" s="98"/>
      <c r="BY20" s="98"/>
      <c r="BZ20" s="98"/>
      <c r="CA20" s="98"/>
    </row>
    <row r="21" spans="1:79" ht="30" customHeight="1">
      <c r="A21" s="1625" t="s">
        <v>3050</v>
      </c>
      <c r="B21" s="1625"/>
      <c r="C21" s="1625"/>
      <c r="D21" s="1625"/>
      <c r="E21" s="1625"/>
      <c r="F21" s="1625"/>
      <c r="G21" s="1625"/>
      <c r="H21" s="1625"/>
      <c r="I21" s="1625"/>
      <c r="J21" s="1625"/>
      <c r="K21" s="1625"/>
      <c r="L21" s="1625"/>
      <c r="M21" s="1625"/>
      <c r="N21" s="1625"/>
      <c r="O21" s="1625"/>
      <c r="P21" s="1625"/>
      <c r="Q21" s="1625"/>
      <c r="R21" s="1625"/>
      <c r="S21" s="1625"/>
      <c r="T21" s="1625"/>
      <c r="U21" s="1625"/>
      <c r="V21" s="1625"/>
      <c r="W21" s="1625"/>
      <c r="X21" s="1625"/>
      <c r="Y21" s="1625"/>
      <c r="Z21" s="1625"/>
      <c r="AA21" s="1625" t="s">
        <v>2920</v>
      </c>
      <c r="AB21" s="1625"/>
      <c r="AC21" s="1625"/>
      <c r="AD21" s="1625"/>
      <c r="AE21" s="1625"/>
      <c r="AF21" s="1625"/>
      <c r="AG21" s="1625"/>
      <c r="AH21" s="1625"/>
      <c r="AI21" s="1625"/>
      <c r="AJ21" s="1625"/>
      <c r="AK21" s="1625"/>
      <c r="AL21" s="1625"/>
      <c r="AM21" s="1625"/>
      <c r="AN21" s="1625"/>
      <c r="AO21" s="1625"/>
      <c r="AP21" s="1625"/>
      <c r="AQ21" s="1625"/>
      <c r="AR21" s="1625"/>
      <c r="AS21" s="1625"/>
      <c r="AT21" s="1625"/>
      <c r="AU21" s="1625"/>
      <c r="AV21" s="1625"/>
      <c r="AW21" s="1625"/>
      <c r="AX21" s="1625"/>
      <c r="AY21" s="1625"/>
      <c r="AZ21" s="1625"/>
      <c r="BA21" s="96">
        <v>21</v>
      </c>
      <c r="BB21" s="96"/>
      <c r="BC21" s="97"/>
      <c r="BD21" s="96"/>
      <c r="BE21" s="96"/>
      <c r="BF21" s="97"/>
      <c r="BG21" s="96"/>
      <c r="BH21" s="96"/>
      <c r="BI21" s="96"/>
      <c r="BJ21" s="96"/>
      <c r="BK21" s="96"/>
      <c r="BL21" s="96"/>
      <c r="BM21" s="96"/>
      <c r="BN21" s="96"/>
      <c r="BO21" s="96"/>
      <c r="BP21" s="96"/>
      <c r="BQ21" s="96"/>
      <c r="BR21" s="98"/>
      <c r="BS21" s="98"/>
      <c r="BT21" s="98"/>
      <c r="BU21" s="98"/>
      <c r="BV21" s="98"/>
      <c r="BW21" s="98"/>
      <c r="BX21" s="98"/>
      <c r="BY21" s="98"/>
      <c r="BZ21" s="98"/>
      <c r="CA21" s="98"/>
    </row>
    <row r="22" spans="1:79" ht="18" customHeight="1">
      <c r="A22" s="1543" t="s">
        <v>2912</v>
      </c>
      <c r="B22" s="1543"/>
      <c r="C22" s="1543"/>
      <c r="D22" s="1543"/>
      <c r="E22" s="1543"/>
      <c r="F22" s="1543"/>
      <c r="G22" s="1543"/>
      <c r="H22" s="1543"/>
      <c r="I22" s="1543"/>
      <c r="J22" s="1543"/>
      <c r="K22" s="1543"/>
      <c r="L22" s="1543"/>
      <c r="M22" s="1543"/>
      <c r="N22" s="1543"/>
      <c r="O22" s="1543"/>
      <c r="P22" s="1543"/>
      <c r="Q22" s="1543"/>
      <c r="R22" s="1543"/>
      <c r="S22" s="1543"/>
      <c r="T22" s="1543"/>
      <c r="U22" s="1543"/>
      <c r="V22" s="1543"/>
      <c r="W22" s="1543"/>
      <c r="X22" s="1543"/>
      <c r="Y22" s="1543"/>
      <c r="Z22" s="1543"/>
      <c r="AA22" s="1543" t="s">
        <v>2912</v>
      </c>
      <c r="AB22" s="1543"/>
      <c r="AC22" s="1543"/>
      <c r="AD22" s="1543"/>
      <c r="AE22" s="1543"/>
      <c r="AF22" s="1543"/>
      <c r="AG22" s="1543"/>
      <c r="AH22" s="1543"/>
      <c r="AI22" s="1543"/>
      <c r="AJ22" s="1543"/>
      <c r="AK22" s="1543"/>
      <c r="AL22" s="1543"/>
      <c r="AM22" s="1543"/>
      <c r="AN22" s="1543"/>
      <c r="AO22" s="1543"/>
      <c r="AP22" s="1543"/>
      <c r="AQ22" s="1543"/>
      <c r="AR22" s="1543"/>
      <c r="AS22" s="1543"/>
      <c r="AT22" s="1543"/>
      <c r="AU22" s="1543"/>
      <c r="AV22" s="1543"/>
      <c r="AW22" s="1543"/>
      <c r="AX22" s="1543"/>
      <c r="AY22" s="1543"/>
      <c r="AZ22" s="1543"/>
      <c r="BA22" s="96">
        <v>22</v>
      </c>
      <c r="BB22" s="96"/>
      <c r="BC22" s="97"/>
      <c r="BD22" s="96"/>
      <c r="BE22" s="96"/>
      <c r="BF22" s="97"/>
      <c r="BG22" s="96"/>
      <c r="BH22" s="96"/>
      <c r="BI22" s="96"/>
      <c r="BJ22" s="96"/>
      <c r="BK22" s="96"/>
      <c r="BL22" s="96"/>
      <c r="BM22" s="96"/>
      <c r="BN22" s="96"/>
      <c r="BO22" s="96"/>
      <c r="BP22" s="96"/>
      <c r="BQ22" s="96"/>
      <c r="BR22" s="98"/>
      <c r="BS22" s="98"/>
      <c r="BT22" s="98"/>
      <c r="BU22" s="98"/>
      <c r="BV22" s="98"/>
      <c r="BW22" s="98"/>
      <c r="BX22" s="98"/>
      <c r="BY22" s="98"/>
      <c r="BZ22" s="98"/>
      <c r="CA22" s="98"/>
    </row>
    <row r="23" spans="1:79" ht="30" customHeight="1">
      <c r="A23" s="1544" t="s">
        <v>2921</v>
      </c>
      <c r="B23" s="1543"/>
      <c r="C23" s="1543"/>
      <c r="D23" s="1543"/>
      <c r="E23" s="1543"/>
      <c r="F23" s="1543"/>
      <c r="G23" s="1543"/>
      <c r="H23" s="1543"/>
      <c r="I23" s="1543"/>
      <c r="J23" s="1543"/>
      <c r="K23" s="1543"/>
      <c r="L23" s="1543"/>
      <c r="M23" s="1543"/>
      <c r="N23" s="1543"/>
      <c r="O23" s="1543"/>
      <c r="P23" s="1543"/>
      <c r="Q23" s="1543"/>
      <c r="R23" s="1543"/>
      <c r="S23" s="1543"/>
      <c r="T23" s="1543"/>
      <c r="U23" s="1543"/>
      <c r="V23" s="1543"/>
      <c r="W23" s="1543"/>
      <c r="X23" s="1543"/>
      <c r="Y23" s="1543"/>
      <c r="Z23" s="1543"/>
      <c r="AA23" s="1544" t="s">
        <v>2921</v>
      </c>
      <c r="AB23" s="1543"/>
      <c r="AC23" s="1543"/>
      <c r="AD23" s="1543"/>
      <c r="AE23" s="1543"/>
      <c r="AF23" s="1543"/>
      <c r="AG23" s="1543"/>
      <c r="AH23" s="1543"/>
      <c r="AI23" s="1543"/>
      <c r="AJ23" s="1543"/>
      <c r="AK23" s="1543"/>
      <c r="AL23" s="1543"/>
      <c r="AM23" s="1543"/>
      <c r="AN23" s="1543"/>
      <c r="AO23" s="1543"/>
      <c r="AP23" s="1543"/>
      <c r="AQ23" s="1543"/>
      <c r="AR23" s="1543"/>
      <c r="AS23" s="1543"/>
      <c r="AT23" s="1543"/>
      <c r="AU23" s="1543"/>
      <c r="AV23" s="1543"/>
      <c r="AW23" s="1543"/>
      <c r="AX23" s="1543"/>
      <c r="AY23" s="1543"/>
      <c r="AZ23" s="1543"/>
      <c r="BA23" s="96">
        <v>23</v>
      </c>
      <c r="BB23" s="96"/>
      <c r="BC23" s="97"/>
      <c r="BD23" s="96"/>
      <c r="BE23" s="96"/>
      <c r="BF23" s="97"/>
      <c r="BG23" s="96"/>
      <c r="BH23" s="96"/>
      <c r="BI23" s="96"/>
      <c r="BJ23" s="96"/>
      <c r="BK23" s="96"/>
      <c r="BL23" s="96"/>
      <c r="BM23" s="96"/>
      <c r="BN23" s="96"/>
      <c r="BO23" s="96"/>
      <c r="BP23" s="96"/>
      <c r="BQ23" s="96"/>
      <c r="BR23" s="98"/>
      <c r="BS23" s="98"/>
      <c r="BT23" s="98"/>
      <c r="BU23" s="98"/>
      <c r="BV23" s="98"/>
      <c r="BW23" s="98"/>
      <c r="BX23" s="98"/>
      <c r="BY23" s="98"/>
      <c r="BZ23" s="98"/>
      <c r="CA23" s="98"/>
    </row>
    <row r="24" spans="1:79" ht="18" customHeight="1">
      <c r="A24" s="1543" t="s">
        <v>2913</v>
      </c>
      <c r="B24" s="1543"/>
      <c r="C24" s="1543"/>
      <c r="D24" s="1543"/>
      <c r="E24" s="1543"/>
      <c r="F24" s="1543"/>
      <c r="G24" s="1543"/>
      <c r="H24" s="1543"/>
      <c r="I24" s="1543"/>
      <c r="J24" s="1543"/>
      <c r="K24" s="1543"/>
      <c r="L24" s="1543"/>
      <c r="M24" s="1543"/>
      <c r="N24" s="1543"/>
      <c r="O24" s="1543"/>
      <c r="P24" s="1543"/>
      <c r="Q24" s="1543"/>
      <c r="R24" s="1543"/>
      <c r="S24" s="1543"/>
      <c r="T24" s="1543"/>
      <c r="U24" s="1543"/>
      <c r="V24" s="1543"/>
      <c r="W24" s="1543"/>
      <c r="X24" s="1543"/>
      <c r="Y24" s="1543"/>
      <c r="Z24" s="1543"/>
      <c r="AA24" s="1543" t="s">
        <v>2913</v>
      </c>
      <c r="AB24" s="1543"/>
      <c r="AC24" s="1543"/>
      <c r="AD24" s="1543"/>
      <c r="AE24" s="1543"/>
      <c r="AF24" s="1543"/>
      <c r="AG24" s="1543"/>
      <c r="AH24" s="1543"/>
      <c r="AI24" s="1543"/>
      <c r="AJ24" s="1543"/>
      <c r="AK24" s="1543"/>
      <c r="AL24" s="1543"/>
      <c r="AM24" s="1543"/>
      <c r="AN24" s="1543"/>
      <c r="AO24" s="1543"/>
      <c r="AP24" s="1543"/>
      <c r="AQ24" s="1543"/>
      <c r="AR24" s="1543"/>
      <c r="AS24" s="1543"/>
      <c r="AT24" s="1543"/>
      <c r="AU24" s="1543"/>
      <c r="AV24" s="1543"/>
      <c r="AW24" s="1543"/>
      <c r="AX24" s="1543"/>
      <c r="AY24" s="1543"/>
      <c r="AZ24" s="1543"/>
      <c r="BA24" s="96">
        <v>24</v>
      </c>
      <c r="BB24" s="96"/>
      <c r="BC24" s="97"/>
      <c r="BD24" s="96"/>
      <c r="BE24" s="96"/>
      <c r="BF24" s="97"/>
      <c r="BG24" s="96"/>
      <c r="BH24" s="96"/>
      <c r="BI24" s="96"/>
      <c r="BJ24" s="96"/>
      <c r="BK24" s="96"/>
      <c r="BL24" s="96"/>
      <c r="BM24" s="96"/>
      <c r="BN24" s="96"/>
      <c r="BO24" s="96"/>
      <c r="BP24" s="96"/>
      <c r="BQ24" s="96"/>
      <c r="BR24" s="98"/>
      <c r="BS24" s="98"/>
      <c r="BT24" s="98"/>
      <c r="BU24" s="98"/>
      <c r="BV24" s="98"/>
      <c r="BW24" s="98"/>
      <c r="BX24" s="98"/>
      <c r="BY24" s="98"/>
      <c r="BZ24" s="98"/>
      <c r="CA24" s="98"/>
    </row>
    <row r="25" spans="1:79" ht="18" customHeight="1">
      <c r="A25" s="1541" t="s">
        <v>2916</v>
      </c>
      <c r="B25" s="1541"/>
      <c r="C25" s="1541"/>
      <c r="D25" s="1541"/>
      <c r="E25" s="1541"/>
      <c r="F25" s="1541"/>
      <c r="G25" s="1541"/>
      <c r="H25" s="1541"/>
      <c r="I25" s="1541"/>
      <c r="J25" s="1541"/>
      <c r="K25" s="1541"/>
      <c r="L25" s="1541"/>
      <c r="M25" s="1541"/>
      <c r="N25" s="1541"/>
      <c r="O25" s="1541"/>
      <c r="P25" s="1541"/>
      <c r="Q25" s="1541"/>
      <c r="R25" s="1541"/>
      <c r="S25" s="1541"/>
      <c r="T25" s="1541"/>
      <c r="U25" s="1541"/>
      <c r="V25" s="1541"/>
      <c r="W25" s="1541"/>
      <c r="X25" s="1541"/>
      <c r="Y25" s="1541"/>
      <c r="Z25" s="1541"/>
      <c r="AA25" s="1541" t="s">
        <v>2916</v>
      </c>
      <c r="AB25" s="1541"/>
      <c r="AC25" s="1541"/>
      <c r="AD25" s="1541"/>
      <c r="AE25" s="1541"/>
      <c r="AF25" s="1541"/>
      <c r="AG25" s="1541"/>
      <c r="AH25" s="1541"/>
      <c r="AI25" s="1541"/>
      <c r="AJ25" s="1541"/>
      <c r="AK25" s="1541"/>
      <c r="AL25" s="1541"/>
      <c r="AM25" s="1541"/>
      <c r="AN25" s="1541"/>
      <c r="AO25" s="1541"/>
      <c r="AP25" s="1541"/>
      <c r="AQ25" s="1541"/>
      <c r="AR25" s="1541"/>
      <c r="AS25" s="1541"/>
      <c r="AT25" s="1541"/>
      <c r="AU25" s="1541"/>
      <c r="AV25" s="1541"/>
      <c r="AW25" s="1541"/>
      <c r="AX25" s="1541"/>
      <c r="AY25" s="1541"/>
      <c r="AZ25" s="1541"/>
      <c r="BA25" s="96">
        <v>25</v>
      </c>
      <c r="BB25" s="96"/>
      <c r="BC25" s="97"/>
      <c r="BD25" s="96"/>
      <c r="BE25" s="96"/>
      <c r="BF25" s="97"/>
      <c r="BG25" s="96"/>
      <c r="BH25" s="96"/>
      <c r="BI25" s="96"/>
      <c r="BJ25" s="96"/>
      <c r="BK25" s="96"/>
      <c r="BL25" s="96"/>
      <c r="BM25" s="96"/>
      <c r="BN25" s="96"/>
      <c r="BO25" s="96"/>
      <c r="BP25" s="96"/>
      <c r="BQ25" s="96"/>
      <c r="BR25" s="98"/>
      <c r="BS25" s="98"/>
      <c r="BT25" s="98"/>
      <c r="BU25" s="98"/>
      <c r="BV25" s="98"/>
      <c r="BW25" s="98"/>
      <c r="BX25" s="98"/>
      <c r="BY25" s="98"/>
      <c r="BZ25" s="98"/>
      <c r="CA25" s="98"/>
    </row>
    <row r="26" spans="1:79" ht="18" customHeight="1">
      <c r="A26" s="1542"/>
      <c r="B26" s="1542"/>
      <c r="C26" s="1542"/>
      <c r="D26" s="1542"/>
      <c r="E26" s="1542"/>
      <c r="F26" s="1542"/>
      <c r="G26" s="1542"/>
      <c r="H26" s="1542"/>
      <c r="I26" s="1542"/>
      <c r="J26" s="1542"/>
      <c r="K26" s="1542"/>
      <c r="L26" s="1542"/>
      <c r="M26" s="1542"/>
      <c r="N26" s="1542"/>
      <c r="O26" s="1542"/>
      <c r="P26" s="1542"/>
      <c r="Q26" s="1542"/>
      <c r="R26" s="1542"/>
      <c r="S26" s="1542"/>
      <c r="T26" s="1542"/>
      <c r="U26" s="1542"/>
      <c r="V26" s="1542"/>
      <c r="W26" s="1542"/>
      <c r="X26" s="1542"/>
      <c r="Y26" s="1542"/>
      <c r="Z26" s="1542"/>
      <c r="AA26" s="1542"/>
      <c r="AB26" s="1542"/>
      <c r="AC26" s="1542"/>
      <c r="AD26" s="1542"/>
      <c r="AE26" s="1542"/>
      <c r="AF26" s="1542"/>
      <c r="AG26" s="1542"/>
      <c r="AH26" s="1542"/>
      <c r="AI26" s="1542"/>
      <c r="AJ26" s="1542"/>
      <c r="AK26" s="1542"/>
      <c r="AL26" s="1542"/>
      <c r="AM26" s="1542"/>
      <c r="AN26" s="1542"/>
      <c r="AO26" s="1542"/>
      <c r="AP26" s="1542"/>
      <c r="AQ26" s="1542"/>
      <c r="AR26" s="1542"/>
      <c r="AS26" s="1542"/>
      <c r="AT26" s="1542"/>
      <c r="AU26" s="1542"/>
      <c r="AV26" s="1542"/>
      <c r="AW26" s="1542"/>
      <c r="AX26" s="1542"/>
      <c r="AY26" s="1542"/>
      <c r="AZ26" s="1542"/>
      <c r="BA26" s="96">
        <v>26</v>
      </c>
      <c r="BB26" s="96"/>
      <c r="BC26" s="97"/>
      <c r="BD26" s="96"/>
      <c r="BE26" s="96"/>
      <c r="BF26" s="97"/>
      <c r="BG26" s="96"/>
      <c r="BH26" s="96"/>
      <c r="BI26" s="96"/>
      <c r="BJ26" s="96"/>
      <c r="BK26" s="96"/>
      <c r="BL26" s="96"/>
      <c r="BM26" s="96"/>
      <c r="BN26" s="96"/>
      <c r="BO26" s="96"/>
      <c r="BP26" s="96"/>
      <c r="BQ26" s="96"/>
      <c r="BR26" s="98"/>
      <c r="BS26" s="98"/>
      <c r="BT26" s="98"/>
      <c r="BU26" s="98"/>
      <c r="BV26" s="98"/>
      <c r="BW26" s="98"/>
      <c r="BX26" s="98"/>
      <c r="BY26" s="98"/>
      <c r="BZ26" s="98"/>
      <c r="CA26" s="98"/>
    </row>
    <row r="27" spans="1:79" ht="13.5" customHeight="1" thickBot="1">
      <c r="A27" s="1644" t="s">
        <v>108</v>
      </c>
      <c r="B27" s="1644"/>
      <c r="C27" s="1473" t="s">
        <v>109</v>
      </c>
      <c r="D27" s="1549"/>
      <c r="E27" s="1474"/>
      <c r="F27" s="1473" t="s">
        <v>414</v>
      </c>
      <c r="G27" s="1549"/>
      <c r="H27" s="1473" t="s">
        <v>415</v>
      </c>
      <c r="I27" s="1549"/>
      <c r="J27" s="1549"/>
      <c r="K27" s="1549"/>
      <c r="L27" s="1549"/>
      <c r="M27" s="1607" t="s">
        <v>110</v>
      </c>
      <c r="N27" s="1608"/>
      <c r="O27" s="1608"/>
      <c r="P27" s="1608"/>
      <c r="Q27" s="1608"/>
      <c r="R27" s="1549"/>
      <c r="S27" s="1474"/>
      <c r="T27" s="1573" t="s">
        <v>111</v>
      </c>
      <c r="U27" s="1473" t="s">
        <v>112</v>
      </c>
      <c r="V27" s="1549"/>
      <c r="W27" s="1549"/>
      <c r="X27" s="1549"/>
      <c r="Y27" s="1549"/>
      <c r="Z27" s="1474"/>
      <c r="AA27" s="1473" t="s">
        <v>108</v>
      </c>
      <c r="AB27" s="1474"/>
      <c r="AC27" s="1473" t="s">
        <v>109</v>
      </c>
      <c r="AD27" s="1549"/>
      <c r="AE27" s="1474"/>
      <c r="AF27" s="1473" t="s">
        <v>414</v>
      </c>
      <c r="AG27" s="1474"/>
      <c r="AH27" s="1473" t="s">
        <v>415</v>
      </c>
      <c r="AI27" s="1549"/>
      <c r="AJ27" s="1549"/>
      <c r="AK27" s="1549"/>
      <c r="AL27" s="1549"/>
      <c r="AM27" s="1607" t="s">
        <v>110</v>
      </c>
      <c r="AN27" s="1608"/>
      <c r="AO27" s="1608"/>
      <c r="AP27" s="1608"/>
      <c r="AQ27" s="1608"/>
      <c r="AR27" s="1549"/>
      <c r="AS27" s="1474"/>
      <c r="AT27" s="1573" t="s">
        <v>111</v>
      </c>
      <c r="AU27" s="1473" t="s">
        <v>112</v>
      </c>
      <c r="AV27" s="1549"/>
      <c r="AW27" s="1549"/>
      <c r="AX27" s="1549"/>
      <c r="AY27" s="1549"/>
      <c r="AZ27" s="1474"/>
      <c r="BA27" s="96">
        <v>27</v>
      </c>
      <c r="BB27" s="96"/>
      <c r="BC27" s="97"/>
      <c r="BD27" s="96"/>
      <c r="BE27" s="96"/>
      <c r="BF27" s="97"/>
      <c r="BG27" s="96"/>
      <c r="BH27" s="96"/>
      <c r="BI27" s="96"/>
      <c r="BJ27" s="96"/>
      <c r="BK27" s="96"/>
      <c r="BL27" s="96"/>
      <c r="BM27" s="96"/>
      <c r="BN27" s="96"/>
      <c r="BO27" s="96"/>
      <c r="BP27" s="96"/>
      <c r="BQ27" s="96"/>
      <c r="BR27" s="98"/>
      <c r="BS27" s="98"/>
      <c r="BT27" s="98"/>
      <c r="BU27" s="98"/>
      <c r="BV27" s="98"/>
      <c r="BW27" s="98"/>
      <c r="BX27" s="98"/>
      <c r="BY27" s="98"/>
      <c r="BZ27" s="98"/>
      <c r="CA27" s="98"/>
    </row>
    <row r="28" spans="1:79" ht="13.5" customHeight="1">
      <c r="A28" s="1644"/>
      <c r="B28" s="1644"/>
      <c r="C28" s="1475"/>
      <c r="D28" s="1479"/>
      <c r="E28" s="1476"/>
      <c r="F28" s="1475"/>
      <c r="G28" s="1479"/>
      <c r="H28" s="1475"/>
      <c r="I28" s="1479"/>
      <c r="J28" s="1479"/>
      <c r="K28" s="1479"/>
      <c r="L28" s="1479"/>
      <c r="M28" s="1605" t="s">
        <v>2998</v>
      </c>
      <c r="N28" s="1598" t="s">
        <v>116</v>
      </c>
      <c r="O28" s="1599"/>
      <c r="P28" s="1598" t="s">
        <v>117</v>
      </c>
      <c r="Q28" s="1535"/>
      <c r="R28" s="1594" t="s">
        <v>118</v>
      </c>
      <c r="S28" s="1595"/>
      <c r="T28" s="1609"/>
      <c r="U28" s="1475"/>
      <c r="V28" s="1479"/>
      <c r="W28" s="1479"/>
      <c r="X28" s="1479"/>
      <c r="Y28" s="1479"/>
      <c r="Z28" s="1476"/>
      <c r="AA28" s="1475"/>
      <c r="AB28" s="1476"/>
      <c r="AC28" s="1475"/>
      <c r="AD28" s="1479"/>
      <c r="AE28" s="1476"/>
      <c r="AF28" s="1475"/>
      <c r="AG28" s="1476"/>
      <c r="AH28" s="1475"/>
      <c r="AI28" s="1479"/>
      <c r="AJ28" s="1479"/>
      <c r="AK28" s="1479"/>
      <c r="AL28" s="1479"/>
      <c r="AM28" s="1605" t="s">
        <v>2998</v>
      </c>
      <c r="AN28" s="1598" t="s">
        <v>116</v>
      </c>
      <c r="AO28" s="1599"/>
      <c r="AP28" s="1598" t="s">
        <v>117</v>
      </c>
      <c r="AQ28" s="1535"/>
      <c r="AR28" s="1594" t="s">
        <v>118</v>
      </c>
      <c r="AS28" s="1595"/>
      <c r="AT28" s="1609"/>
      <c r="AU28" s="1475"/>
      <c r="AV28" s="1479"/>
      <c r="AW28" s="1479"/>
      <c r="AX28" s="1479"/>
      <c r="AY28" s="1479"/>
      <c r="AZ28" s="1476"/>
      <c r="BA28" s="96">
        <v>28</v>
      </c>
      <c r="BB28" s="96"/>
      <c r="BC28" s="97"/>
      <c r="BD28" s="96"/>
      <c r="BE28" s="96"/>
      <c r="BF28" s="97"/>
      <c r="BG28" s="96"/>
      <c r="BH28" s="96"/>
      <c r="BI28" s="96"/>
      <c r="BJ28" s="96"/>
      <c r="BK28" s="96"/>
      <c r="BL28" s="96"/>
      <c r="BM28" s="96"/>
      <c r="BN28" s="96"/>
      <c r="BO28" s="96"/>
      <c r="BP28" s="96"/>
      <c r="BQ28" s="96"/>
      <c r="BR28" s="98"/>
      <c r="BS28" s="98"/>
      <c r="BT28" s="98"/>
      <c r="BU28" s="98"/>
      <c r="BV28" s="98"/>
      <c r="BW28" s="98"/>
      <c r="BX28" s="98"/>
      <c r="BY28" s="98"/>
      <c r="BZ28" s="98"/>
      <c r="CA28" s="98"/>
    </row>
    <row r="29" spans="1:79" ht="13.5" customHeight="1" thickBot="1">
      <c r="A29" s="1645"/>
      <c r="B29" s="1645"/>
      <c r="C29" s="1477"/>
      <c r="D29" s="1589"/>
      <c r="E29" s="1478"/>
      <c r="F29" s="1477"/>
      <c r="G29" s="1589"/>
      <c r="H29" s="1477"/>
      <c r="I29" s="1589"/>
      <c r="J29" s="1589"/>
      <c r="K29" s="1589"/>
      <c r="L29" s="1589"/>
      <c r="M29" s="1606"/>
      <c r="N29" s="1600"/>
      <c r="O29" s="1601"/>
      <c r="P29" s="1600"/>
      <c r="Q29" s="1602"/>
      <c r="R29" s="1596"/>
      <c r="S29" s="1597"/>
      <c r="T29" s="1610"/>
      <c r="U29" s="1475"/>
      <c r="V29" s="1479"/>
      <c r="W29" s="1479"/>
      <c r="X29" s="1479"/>
      <c r="Y29" s="1479"/>
      <c r="Z29" s="1476"/>
      <c r="AA29" s="1477"/>
      <c r="AB29" s="1478"/>
      <c r="AC29" s="1477"/>
      <c r="AD29" s="1589"/>
      <c r="AE29" s="1478"/>
      <c r="AF29" s="1477"/>
      <c r="AG29" s="1478"/>
      <c r="AH29" s="1477"/>
      <c r="AI29" s="1589"/>
      <c r="AJ29" s="1589"/>
      <c r="AK29" s="1589"/>
      <c r="AL29" s="1589"/>
      <c r="AM29" s="1606"/>
      <c r="AN29" s="1600"/>
      <c r="AO29" s="1601"/>
      <c r="AP29" s="1600"/>
      <c r="AQ29" s="1602"/>
      <c r="AR29" s="1596"/>
      <c r="AS29" s="1597"/>
      <c r="AT29" s="1610"/>
      <c r="AU29" s="1475"/>
      <c r="AV29" s="1479"/>
      <c r="AW29" s="1479"/>
      <c r="AX29" s="1479"/>
      <c r="AY29" s="1479"/>
      <c r="AZ29" s="1476"/>
      <c r="BA29" s="96">
        <v>29</v>
      </c>
      <c r="BB29" s="59" t="s">
        <v>347</v>
      </c>
      <c r="BC29" s="100" t="s">
        <v>348</v>
      </c>
      <c r="BD29" s="101"/>
      <c r="BE29" s="59" t="s">
        <v>349</v>
      </c>
      <c r="BF29" s="100" t="s">
        <v>350</v>
      </c>
      <c r="BG29" s="59" t="s">
        <v>351</v>
      </c>
      <c r="BH29" s="59" t="s">
        <v>352</v>
      </c>
      <c r="BI29" s="59" t="s">
        <v>353</v>
      </c>
      <c r="BJ29" s="59" t="s">
        <v>354</v>
      </c>
      <c r="BK29" s="100" t="s">
        <v>348</v>
      </c>
      <c r="BL29" s="96"/>
      <c r="BM29" s="96"/>
      <c r="BN29" s="96"/>
      <c r="BO29" s="96"/>
      <c r="BP29" s="96"/>
      <c r="BQ29" s="96"/>
      <c r="BR29" s="98"/>
      <c r="BS29" s="98"/>
      <c r="BT29" s="98"/>
      <c r="BU29" s="98"/>
      <c r="BV29" s="98"/>
      <c r="BW29" s="98"/>
      <c r="BX29" s="98"/>
      <c r="BY29" s="98"/>
      <c r="BZ29" s="98"/>
      <c r="CA29" s="98"/>
    </row>
    <row r="30" spans="1:79" ht="33.950000000000003" customHeight="1">
      <c r="A30" s="803"/>
      <c r="B30" s="461" t="s">
        <v>445</v>
      </c>
      <c r="C30" s="1590"/>
      <c r="D30" s="1591"/>
      <c r="E30" s="1592"/>
      <c r="F30" s="1593"/>
      <c r="G30" s="1593"/>
      <c r="H30" s="1603"/>
      <c r="I30" s="1604"/>
      <c r="J30" s="1604"/>
      <c r="K30" s="1604"/>
      <c r="L30" s="1604"/>
      <c r="M30" s="883"/>
      <c r="N30" s="1522"/>
      <c r="O30" s="1523"/>
      <c r="P30" s="1522"/>
      <c r="Q30" s="1524"/>
      <c r="R30" s="1525">
        <f>SUM(L30:Q30)</f>
        <v>0</v>
      </c>
      <c r="S30" s="1526"/>
      <c r="T30" s="714"/>
      <c r="U30" s="1527"/>
      <c r="V30" s="1528"/>
      <c r="W30" s="1528"/>
      <c r="X30" s="1528"/>
      <c r="Y30" s="1528"/>
      <c r="Z30" s="1529"/>
      <c r="AA30" s="717">
        <v>8</v>
      </c>
      <c r="AB30" s="718" t="s">
        <v>16</v>
      </c>
      <c r="AC30" s="1530" t="s">
        <v>412</v>
      </c>
      <c r="AD30" s="1531"/>
      <c r="AE30" s="1532"/>
      <c r="AF30" s="1533" t="s">
        <v>493</v>
      </c>
      <c r="AG30" s="1534"/>
      <c r="AH30" s="1603" t="s">
        <v>2870</v>
      </c>
      <c r="AI30" s="1604"/>
      <c r="AJ30" s="1604"/>
      <c r="AK30" s="1604"/>
      <c r="AL30" s="1646"/>
      <c r="AM30" s="883"/>
      <c r="AN30" s="1522">
        <v>100</v>
      </c>
      <c r="AO30" s="1523"/>
      <c r="AP30" s="1647">
        <v>11</v>
      </c>
      <c r="AQ30" s="1648"/>
      <c r="AR30" s="1525">
        <f>SUM(AL30:AQ30)</f>
        <v>111</v>
      </c>
      <c r="AS30" s="1526"/>
      <c r="AT30" s="922"/>
      <c r="AU30" s="1527"/>
      <c r="AV30" s="1528"/>
      <c r="AW30" s="1528"/>
      <c r="AX30" s="1528"/>
      <c r="AY30" s="1528"/>
      <c r="AZ30" s="1529"/>
      <c r="BA30" s="96">
        <v>30</v>
      </c>
      <c r="BB30" s="59">
        <f>IF(F30="炊事",1,0)</f>
        <v>0</v>
      </c>
      <c r="BC30" s="100">
        <f>12*BB30</f>
        <v>0</v>
      </c>
      <c r="BD30" s="101"/>
      <c r="BE30" s="59">
        <f>INDEX(A$30:A$41,MATCH($BK30,$BC$30:$BC$41,0))</f>
        <v>0</v>
      </c>
      <c r="BF30" s="59">
        <f>INDEX(C$30:C$41,MATCH($BK30,$BC$30:$BC$41,0))</f>
        <v>0</v>
      </c>
      <c r="BG30" s="59">
        <f>INDEX(D$30:D$41,MATCH($BK30,$BC$30:$BC$41,0))</f>
        <v>0</v>
      </c>
      <c r="BH30" s="59">
        <f>INDEX(E$30:E$41,MATCH($BK30,$BC$30:$BC$41,0))</f>
        <v>0</v>
      </c>
      <c r="BI30" s="59">
        <f>INDEX(H$30:H$41,MATCH($BK30,$BC$30:$BC$41,0))</f>
        <v>0</v>
      </c>
      <c r="BJ30" s="59">
        <f>INDEX(R$30:R$41,MATCH($BK30,$BC$30:$BC$41,0))</f>
        <v>0</v>
      </c>
      <c r="BK30" s="59">
        <f t="shared" ref="BK30:BK41" si="0">LARGE($BC$30:$BC$41,ROW(A1))</f>
        <v>0</v>
      </c>
      <c r="BL30" s="102"/>
      <c r="BM30" s="1487"/>
      <c r="BN30" s="1487"/>
      <c r="BO30" s="103"/>
      <c r="BP30" s="1487"/>
      <c r="BQ30" s="1487"/>
      <c r="BR30" s="104"/>
      <c r="BS30" s="105"/>
      <c r="BT30" s="105"/>
      <c r="BU30" s="98"/>
      <c r="BV30" s="98"/>
      <c r="BW30" s="98"/>
      <c r="BX30" s="98"/>
      <c r="BY30" s="98"/>
      <c r="BZ30" s="98"/>
      <c r="CA30" s="98"/>
    </row>
    <row r="31" spans="1:79" ht="33.950000000000003" customHeight="1">
      <c r="A31" s="803"/>
      <c r="B31" s="462" t="s">
        <v>402</v>
      </c>
      <c r="C31" s="1520"/>
      <c r="D31" s="1536"/>
      <c r="E31" s="1521"/>
      <c r="F31" s="1488"/>
      <c r="G31" s="1488"/>
      <c r="H31" s="1520"/>
      <c r="I31" s="1536"/>
      <c r="J31" s="1536"/>
      <c r="K31" s="1536"/>
      <c r="L31" s="1536"/>
      <c r="M31" s="884"/>
      <c r="N31" s="1520"/>
      <c r="O31" s="1521"/>
      <c r="P31" s="1488"/>
      <c r="Q31" s="1489"/>
      <c r="R31" s="1490">
        <f>SUM(L31:Q31)</f>
        <v>0</v>
      </c>
      <c r="S31" s="1491"/>
      <c r="T31" s="715"/>
      <c r="U31" s="1492"/>
      <c r="V31" s="1493"/>
      <c r="W31" s="1493"/>
      <c r="X31" s="1493"/>
      <c r="Y31" s="1493"/>
      <c r="Z31" s="1494"/>
      <c r="AA31" s="719">
        <f>AA30</f>
        <v>8</v>
      </c>
      <c r="AB31" s="720" t="s">
        <v>16</v>
      </c>
      <c r="AC31" s="1495" t="s">
        <v>413</v>
      </c>
      <c r="AD31" s="1496"/>
      <c r="AE31" s="1497"/>
      <c r="AF31" s="1498" t="s">
        <v>494</v>
      </c>
      <c r="AG31" s="1499"/>
      <c r="AH31" s="1520" t="s">
        <v>2807</v>
      </c>
      <c r="AI31" s="1536"/>
      <c r="AJ31" s="1536"/>
      <c r="AK31" s="1536"/>
      <c r="AL31" s="1521"/>
      <c r="AM31" s="884"/>
      <c r="AN31" s="1520">
        <v>100</v>
      </c>
      <c r="AO31" s="1521"/>
      <c r="AP31" s="1513">
        <v>10</v>
      </c>
      <c r="AQ31" s="1514"/>
      <c r="AR31" s="1490">
        <f>SUM(AL31:AQ31)</f>
        <v>110</v>
      </c>
      <c r="AS31" s="1491"/>
      <c r="AT31" s="715"/>
      <c r="AU31" s="1492"/>
      <c r="AV31" s="1493"/>
      <c r="AW31" s="1493"/>
      <c r="AX31" s="1493"/>
      <c r="AY31" s="1493"/>
      <c r="AZ31" s="1494"/>
      <c r="BA31" s="96">
        <v>31</v>
      </c>
      <c r="BB31" s="59">
        <f t="shared" ref="BB31:BB41" si="1">IF(F31="炊事",1,0)</f>
        <v>0</v>
      </c>
      <c r="BC31" s="100">
        <f>11*BB31</f>
        <v>0</v>
      </c>
      <c r="BD31" s="101"/>
      <c r="BE31" s="59">
        <f t="shared" ref="BE31:BE41" si="2">INDEX(A$30:A$41,MATCH($BK31,$BC$30:$BC$41,0))</f>
        <v>0</v>
      </c>
      <c r="BF31" s="59">
        <f t="shared" ref="BF31:BF41" si="3">INDEX(C$30:C$41,MATCH($BK31,$BC$30:$BC$41,0))</f>
        <v>0</v>
      </c>
      <c r="BG31" s="59">
        <f t="shared" ref="BG31:BH41" si="4">INDEX(D$30:D$41,MATCH($BK31,$BC$30:$BC$41,0))</f>
        <v>0</v>
      </c>
      <c r="BH31" s="59">
        <f t="shared" si="4"/>
        <v>0</v>
      </c>
      <c r="BI31" s="59">
        <f t="shared" ref="BI31:BI41" si="5">INDEX(H$30:H$41,MATCH($BK31,$BC$30:$BC$41,0))</f>
        <v>0</v>
      </c>
      <c r="BJ31" s="59">
        <f t="shared" ref="BJ31:BJ41" si="6">INDEX(R$30:R$41,MATCH($BK31,$BC$30:$BC$41,0))</f>
        <v>0</v>
      </c>
      <c r="BK31" s="59">
        <f t="shared" si="0"/>
        <v>0</v>
      </c>
      <c r="BL31" s="102"/>
      <c r="BM31" s="1487"/>
      <c r="BN31" s="1487"/>
      <c r="BO31" s="103"/>
      <c r="BP31" s="1487"/>
      <c r="BQ31" s="1487"/>
      <c r="BR31" s="104"/>
      <c r="BS31" s="105"/>
      <c r="BT31" s="105"/>
      <c r="BU31" s="98"/>
      <c r="BV31" s="98"/>
      <c r="BW31" s="98"/>
      <c r="BX31" s="98"/>
      <c r="BY31" s="98"/>
      <c r="BZ31" s="98"/>
      <c r="CA31" s="98"/>
    </row>
    <row r="32" spans="1:79" ht="33.950000000000003" customHeight="1">
      <c r="A32" s="803"/>
      <c r="B32" s="462" t="s">
        <v>402</v>
      </c>
      <c r="C32" s="1520"/>
      <c r="D32" s="1536"/>
      <c r="E32" s="1521"/>
      <c r="F32" s="1488"/>
      <c r="G32" s="1488"/>
      <c r="H32" s="1510"/>
      <c r="I32" s="1511"/>
      <c r="J32" s="1511"/>
      <c r="K32" s="1511"/>
      <c r="L32" s="1512"/>
      <c r="M32" s="884"/>
      <c r="N32" s="1488"/>
      <c r="O32" s="1488"/>
      <c r="P32" s="1488"/>
      <c r="Q32" s="1489"/>
      <c r="R32" s="1490">
        <f>SUM(L32:Q32)</f>
        <v>0</v>
      </c>
      <c r="S32" s="1491"/>
      <c r="T32" s="715"/>
      <c r="U32" s="1492"/>
      <c r="V32" s="1493"/>
      <c r="W32" s="1493"/>
      <c r="X32" s="1493"/>
      <c r="Y32" s="1493"/>
      <c r="Z32" s="1494"/>
      <c r="AA32" s="721">
        <v>9</v>
      </c>
      <c r="AB32" s="720" t="s">
        <v>16</v>
      </c>
      <c r="AC32" s="1495" t="s">
        <v>2808</v>
      </c>
      <c r="AD32" s="1496"/>
      <c r="AE32" s="1497"/>
      <c r="AF32" s="1498" t="s">
        <v>2809</v>
      </c>
      <c r="AG32" s="1499"/>
      <c r="AH32" s="1510" t="s">
        <v>2807</v>
      </c>
      <c r="AI32" s="1511"/>
      <c r="AJ32" s="1511"/>
      <c r="AK32" s="1511"/>
      <c r="AL32" s="1512"/>
      <c r="AM32" s="884"/>
      <c r="AN32" s="1488">
        <v>100</v>
      </c>
      <c r="AO32" s="1488"/>
      <c r="AP32" s="1513">
        <v>10</v>
      </c>
      <c r="AQ32" s="1514"/>
      <c r="AR32" s="1490">
        <f>SUM(AL32:AQ32)</f>
        <v>110</v>
      </c>
      <c r="AS32" s="1491"/>
      <c r="AT32" s="715"/>
      <c r="AU32" s="1492"/>
      <c r="AV32" s="1493"/>
      <c r="AW32" s="1493"/>
      <c r="AX32" s="1493"/>
      <c r="AY32" s="1493"/>
      <c r="AZ32" s="1494"/>
      <c r="BA32" s="96"/>
      <c r="BB32" s="59">
        <f t="shared" si="1"/>
        <v>0</v>
      </c>
      <c r="BC32" s="100">
        <f>10*BB32</f>
        <v>0</v>
      </c>
      <c r="BD32" s="101"/>
      <c r="BE32" s="59">
        <f t="shared" si="2"/>
        <v>0</v>
      </c>
      <c r="BF32" s="59">
        <f t="shared" si="3"/>
        <v>0</v>
      </c>
      <c r="BG32" s="59">
        <f t="shared" si="4"/>
        <v>0</v>
      </c>
      <c r="BH32" s="59">
        <f t="shared" si="4"/>
        <v>0</v>
      </c>
      <c r="BI32" s="59">
        <f t="shared" si="5"/>
        <v>0</v>
      </c>
      <c r="BJ32" s="59">
        <f t="shared" si="6"/>
        <v>0</v>
      </c>
      <c r="BK32" s="59">
        <f t="shared" si="0"/>
        <v>0</v>
      </c>
      <c r="BL32" s="102"/>
      <c r="BM32" s="1487"/>
      <c r="BN32" s="1487"/>
      <c r="BO32" s="103"/>
      <c r="BP32" s="1487"/>
      <c r="BQ32" s="1487"/>
      <c r="BR32" s="104"/>
      <c r="BS32" s="105"/>
      <c r="BT32" s="105"/>
      <c r="BU32" s="98"/>
      <c r="BV32" s="98"/>
      <c r="BW32" s="98"/>
      <c r="BX32" s="98"/>
      <c r="BY32" s="98"/>
      <c r="BZ32" s="98"/>
      <c r="CA32" s="98"/>
    </row>
    <row r="33" spans="1:79" ht="33.950000000000003" customHeight="1">
      <c r="A33" s="803"/>
      <c r="B33" s="462" t="s">
        <v>402</v>
      </c>
      <c r="C33" s="1520"/>
      <c r="D33" s="1536"/>
      <c r="E33" s="1521"/>
      <c r="F33" s="1488"/>
      <c r="G33" s="1488"/>
      <c r="H33" s="1510"/>
      <c r="I33" s="1511"/>
      <c r="J33" s="1511"/>
      <c r="K33" s="1511"/>
      <c r="L33" s="1512"/>
      <c r="M33" s="884"/>
      <c r="N33" s="1488"/>
      <c r="O33" s="1488"/>
      <c r="P33" s="1488"/>
      <c r="Q33" s="1489"/>
      <c r="R33" s="1490">
        <f>SUM(L33:Q33)</f>
        <v>0</v>
      </c>
      <c r="S33" s="1491"/>
      <c r="T33" s="715"/>
      <c r="U33" s="1492"/>
      <c r="V33" s="1493"/>
      <c r="W33" s="1493"/>
      <c r="X33" s="1493"/>
      <c r="Y33" s="1493"/>
      <c r="Z33" s="1494"/>
      <c r="AA33" s="721">
        <v>9</v>
      </c>
      <c r="AB33" s="720" t="s">
        <v>16</v>
      </c>
      <c r="AC33" s="1495" t="s">
        <v>412</v>
      </c>
      <c r="AD33" s="1496"/>
      <c r="AE33" s="1497"/>
      <c r="AF33" s="1498" t="s">
        <v>2810</v>
      </c>
      <c r="AG33" s="1499"/>
      <c r="AH33" s="1510" t="s">
        <v>2908</v>
      </c>
      <c r="AI33" s="1511"/>
      <c r="AJ33" s="1511"/>
      <c r="AK33" s="1511"/>
      <c r="AL33" s="1512"/>
      <c r="AM33" s="884"/>
      <c r="AN33" s="1488">
        <v>99</v>
      </c>
      <c r="AO33" s="1488"/>
      <c r="AP33" s="1513">
        <v>10</v>
      </c>
      <c r="AQ33" s="1514"/>
      <c r="AR33" s="1490">
        <f>SUM(AL33:AQ33)</f>
        <v>109</v>
      </c>
      <c r="AS33" s="1491"/>
      <c r="AT33" s="715" t="s">
        <v>2811</v>
      </c>
      <c r="AU33" s="1492" t="s">
        <v>3102</v>
      </c>
      <c r="AV33" s="1493"/>
      <c r="AW33" s="1493"/>
      <c r="AX33" s="1493"/>
      <c r="AY33" s="1493"/>
      <c r="AZ33" s="1494"/>
      <c r="BA33" s="96"/>
      <c r="BB33" s="59">
        <f t="shared" si="1"/>
        <v>0</v>
      </c>
      <c r="BC33" s="100">
        <f>9*BB33</f>
        <v>0</v>
      </c>
      <c r="BD33" s="106"/>
      <c r="BE33" s="59">
        <f t="shared" si="2"/>
        <v>0</v>
      </c>
      <c r="BF33" s="59">
        <f t="shared" si="3"/>
        <v>0</v>
      </c>
      <c r="BG33" s="59">
        <f t="shared" si="4"/>
        <v>0</v>
      </c>
      <c r="BH33" s="59">
        <f t="shared" si="4"/>
        <v>0</v>
      </c>
      <c r="BI33" s="59">
        <f t="shared" si="5"/>
        <v>0</v>
      </c>
      <c r="BJ33" s="59">
        <f t="shared" si="6"/>
        <v>0</v>
      </c>
      <c r="BK33" s="59">
        <f t="shared" si="0"/>
        <v>0</v>
      </c>
      <c r="BL33" s="102"/>
      <c r="BM33" s="1487"/>
      <c r="BN33" s="1487"/>
      <c r="BO33" s="103"/>
      <c r="BP33" s="1487"/>
      <c r="BQ33" s="1487"/>
      <c r="BR33" s="104"/>
      <c r="BS33" s="105"/>
      <c r="BT33" s="105"/>
      <c r="BU33" s="98"/>
      <c r="BV33" s="98"/>
      <c r="BW33" s="98"/>
      <c r="BX33" s="98"/>
      <c r="BY33" s="98"/>
      <c r="BZ33" s="98"/>
      <c r="CA33" s="98"/>
    </row>
    <row r="34" spans="1:79" ht="33.950000000000003" customHeight="1">
      <c r="A34" s="803"/>
      <c r="B34" s="462" t="s">
        <v>402</v>
      </c>
      <c r="C34" s="1520"/>
      <c r="D34" s="1536"/>
      <c r="E34" s="1521"/>
      <c r="F34" s="1488"/>
      <c r="G34" s="1488"/>
      <c r="H34" s="1510"/>
      <c r="I34" s="1511"/>
      <c r="J34" s="1511"/>
      <c r="K34" s="1511"/>
      <c r="L34" s="1512"/>
      <c r="M34" s="884"/>
      <c r="N34" s="1488"/>
      <c r="O34" s="1488"/>
      <c r="P34" s="1488"/>
      <c r="Q34" s="1489"/>
      <c r="R34" s="1490">
        <f t="shared" ref="R34:R41" si="7">SUM(L34:Q34)</f>
        <v>0</v>
      </c>
      <c r="S34" s="1491"/>
      <c r="T34" s="715"/>
      <c r="U34" s="1492"/>
      <c r="V34" s="1493"/>
      <c r="W34" s="1493"/>
      <c r="X34" s="1493"/>
      <c r="Y34" s="1493"/>
      <c r="Z34" s="1494"/>
      <c r="AA34" s="721">
        <v>9</v>
      </c>
      <c r="AB34" s="720" t="s">
        <v>16</v>
      </c>
      <c r="AC34" s="1495" t="s">
        <v>412</v>
      </c>
      <c r="AD34" s="1496"/>
      <c r="AE34" s="1497"/>
      <c r="AF34" s="1498" t="s">
        <v>2810</v>
      </c>
      <c r="AG34" s="1499"/>
      <c r="AH34" s="1510" t="s">
        <v>2909</v>
      </c>
      <c r="AI34" s="1511"/>
      <c r="AJ34" s="1511"/>
      <c r="AK34" s="1511"/>
      <c r="AL34" s="1512"/>
      <c r="AM34" s="884"/>
      <c r="AN34" s="1488">
        <v>1</v>
      </c>
      <c r="AO34" s="1488"/>
      <c r="AP34" s="1488"/>
      <c r="AQ34" s="1489"/>
      <c r="AR34" s="1490">
        <f t="shared" ref="AR34:AR41" si="8">SUM(AL34:AQ34)</f>
        <v>1</v>
      </c>
      <c r="AS34" s="1491"/>
      <c r="AT34" s="715" t="s">
        <v>2811</v>
      </c>
      <c r="AU34" s="1492" t="s">
        <v>3103</v>
      </c>
      <c r="AV34" s="1493"/>
      <c r="AW34" s="1493"/>
      <c r="AX34" s="1493"/>
      <c r="AY34" s="1493"/>
      <c r="AZ34" s="1494"/>
      <c r="BA34" s="96"/>
      <c r="BB34" s="59">
        <f t="shared" si="1"/>
        <v>0</v>
      </c>
      <c r="BC34" s="100">
        <f>8*BB34</f>
        <v>0</v>
      </c>
      <c r="BD34" s="106"/>
      <c r="BE34" s="59">
        <f t="shared" si="2"/>
        <v>0</v>
      </c>
      <c r="BF34" s="59">
        <f t="shared" si="3"/>
        <v>0</v>
      </c>
      <c r="BG34" s="59">
        <f t="shared" si="4"/>
        <v>0</v>
      </c>
      <c r="BH34" s="59">
        <f t="shared" si="4"/>
        <v>0</v>
      </c>
      <c r="BI34" s="59">
        <f t="shared" si="5"/>
        <v>0</v>
      </c>
      <c r="BJ34" s="59">
        <f t="shared" si="6"/>
        <v>0</v>
      </c>
      <c r="BK34" s="59">
        <f t="shared" si="0"/>
        <v>0</v>
      </c>
      <c r="BL34" s="102"/>
      <c r="BM34" s="1487"/>
      <c r="BN34" s="1487"/>
      <c r="BO34" s="103"/>
      <c r="BP34" s="1487"/>
      <c r="BQ34" s="1487"/>
      <c r="BR34" s="104"/>
      <c r="BS34" s="105"/>
      <c r="BT34" s="105"/>
      <c r="BU34" s="98"/>
      <c r="BV34" s="98"/>
      <c r="BW34" s="98"/>
      <c r="BX34" s="98"/>
      <c r="BY34" s="98"/>
      <c r="BZ34" s="98"/>
      <c r="CA34" s="98"/>
    </row>
    <row r="35" spans="1:79" ht="33.950000000000003" customHeight="1">
      <c r="A35" s="803"/>
      <c r="B35" s="462" t="s">
        <v>402</v>
      </c>
      <c r="C35" s="1520"/>
      <c r="D35" s="1536"/>
      <c r="E35" s="1521"/>
      <c r="F35" s="1488"/>
      <c r="G35" s="1488"/>
      <c r="H35" s="1510"/>
      <c r="I35" s="1511"/>
      <c r="J35" s="1511"/>
      <c r="K35" s="1511"/>
      <c r="L35" s="1512"/>
      <c r="M35" s="884"/>
      <c r="N35" s="1488"/>
      <c r="O35" s="1488"/>
      <c r="P35" s="1488"/>
      <c r="Q35" s="1489"/>
      <c r="R35" s="1490">
        <f t="shared" si="7"/>
        <v>0</v>
      </c>
      <c r="S35" s="1491"/>
      <c r="T35" s="715"/>
      <c r="U35" s="1492"/>
      <c r="V35" s="1493"/>
      <c r="W35" s="1493"/>
      <c r="X35" s="1493"/>
      <c r="Y35" s="1493"/>
      <c r="Z35" s="1494"/>
      <c r="AA35" s="721">
        <v>9</v>
      </c>
      <c r="AB35" s="720" t="s">
        <v>16</v>
      </c>
      <c r="AC35" s="1495" t="s">
        <v>410</v>
      </c>
      <c r="AD35" s="1496"/>
      <c r="AE35" s="1497"/>
      <c r="AF35" s="1498" t="s">
        <v>2810</v>
      </c>
      <c r="AG35" s="1499"/>
      <c r="AH35" s="1510" t="s">
        <v>3101</v>
      </c>
      <c r="AI35" s="1511"/>
      <c r="AJ35" s="1511"/>
      <c r="AK35" s="1511"/>
      <c r="AL35" s="1512"/>
      <c r="AM35" s="884"/>
      <c r="AN35" s="1488">
        <v>50</v>
      </c>
      <c r="AO35" s="1488"/>
      <c r="AP35" s="1513">
        <v>5</v>
      </c>
      <c r="AQ35" s="1514"/>
      <c r="AR35" s="1490">
        <f t="shared" si="8"/>
        <v>55</v>
      </c>
      <c r="AS35" s="1491"/>
      <c r="AT35" s="715"/>
      <c r="AU35" s="1492"/>
      <c r="AV35" s="1493"/>
      <c r="AW35" s="1493"/>
      <c r="AX35" s="1493"/>
      <c r="AY35" s="1493"/>
      <c r="AZ35" s="1494"/>
      <c r="BA35" s="96"/>
      <c r="BB35" s="59">
        <f t="shared" si="1"/>
        <v>0</v>
      </c>
      <c r="BC35" s="100">
        <f>7*BB35</f>
        <v>0</v>
      </c>
      <c r="BD35" s="106"/>
      <c r="BE35" s="59">
        <f t="shared" si="2"/>
        <v>0</v>
      </c>
      <c r="BF35" s="59">
        <f t="shared" si="3"/>
        <v>0</v>
      </c>
      <c r="BG35" s="59">
        <f t="shared" si="4"/>
        <v>0</v>
      </c>
      <c r="BH35" s="59">
        <f t="shared" si="4"/>
        <v>0</v>
      </c>
      <c r="BI35" s="59">
        <f t="shared" si="5"/>
        <v>0</v>
      </c>
      <c r="BJ35" s="59">
        <f t="shared" si="6"/>
        <v>0</v>
      </c>
      <c r="BK35" s="59">
        <f t="shared" si="0"/>
        <v>0</v>
      </c>
      <c r="BL35" s="102"/>
      <c r="BM35" s="1487"/>
      <c r="BN35" s="1487"/>
      <c r="BO35" s="103"/>
      <c r="BP35" s="1487"/>
      <c r="BQ35" s="1487"/>
      <c r="BR35" s="104"/>
      <c r="BS35" s="105"/>
      <c r="BT35" s="105"/>
      <c r="BU35" s="98"/>
      <c r="BV35" s="98"/>
      <c r="BW35" s="98"/>
      <c r="BX35" s="98"/>
      <c r="BY35" s="98"/>
      <c r="BZ35" s="98"/>
      <c r="CA35" s="98"/>
    </row>
    <row r="36" spans="1:79" ht="33.950000000000003" customHeight="1">
      <c r="A36" s="803"/>
      <c r="B36" s="462" t="s">
        <v>402</v>
      </c>
      <c r="C36" s="1520"/>
      <c r="D36" s="1536"/>
      <c r="E36" s="1521"/>
      <c r="F36" s="1488"/>
      <c r="G36" s="1488"/>
      <c r="H36" s="1510"/>
      <c r="I36" s="1511"/>
      <c r="J36" s="1511"/>
      <c r="K36" s="1511"/>
      <c r="L36" s="1512"/>
      <c r="M36" s="884"/>
      <c r="N36" s="1488"/>
      <c r="O36" s="1488"/>
      <c r="P36" s="1488"/>
      <c r="Q36" s="1489"/>
      <c r="R36" s="1490">
        <f t="shared" si="7"/>
        <v>0</v>
      </c>
      <c r="S36" s="1491"/>
      <c r="T36" s="715"/>
      <c r="U36" s="1492"/>
      <c r="V36" s="1493"/>
      <c r="W36" s="1493"/>
      <c r="X36" s="1493"/>
      <c r="Y36" s="1493"/>
      <c r="Z36" s="1494"/>
      <c r="AA36" s="721">
        <v>9</v>
      </c>
      <c r="AB36" s="720" t="s">
        <v>16</v>
      </c>
      <c r="AC36" s="1495" t="s">
        <v>410</v>
      </c>
      <c r="AD36" s="1496"/>
      <c r="AE36" s="1497"/>
      <c r="AF36" s="1498" t="s">
        <v>2810</v>
      </c>
      <c r="AG36" s="1499"/>
      <c r="AH36" s="1510" t="s">
        <v>2910</v>
      </c>
      <c r="AI36" s="1511"/>
      <c r="AJ36" s="1511"/>
      <c r="AK36" s="1511"/>
      <c r="AL36" s="1512"/>
      <c r="AM36" s="884"/>
      <c r="AN36" s="1488">
        <v>50</v>
      </c>
      <c r="AO36" s="1488"/>
      <c r="AP36" s="1513">
        <v>5</v>
      </c>
      <c r="AQ36" s="1514"/>
      <c r="AR36" s="1490">
        <f t="shared" si="8"/>
        <v>55</v>
      </c>
      <c r="AS36" s="1491"/>
      <c r="AT36" s="715"/>
      <c r="AU36" s="1492"/>
      <c r="AV36" s="1493"/>
      <c r="AW36" s="1493"/>
      <c r="AX36" s="1493"/>
      <c r="AY36" s="1493"/>
      <c r="AZ36" s="1494"/>
      <c r="BA36" s="96"/>
      <c r="BB36" s="59">
        <f t="shared" si="1"/>
        <v>0</v>
      </c>
      <c r="BC36" s="100">
        <f>6*BB36</f>
        <v>0</v>
      </c>
      <c r="BD36" s="106"/>
      <c r="BE36" s="59">
        <f t="shared" si="2"/>
        <v>0</v>
      </c>
      <c r="BF36" s="59">
        <f t="shared" si="3"/>
        <v>0</v>
      </c>
      <c r="BG36" s="59">
        <f t="shared" si="4"/>
        <v>0</v>
      </c>
      <c r="BH36" s="59">
        <f t="shared" si="4"/>
        <v>0</v>
      </c>
      <c r="BI36" s="59">
        <f t="shared" si="5"/>
        <v>0</v>
      </c>
      <c r="BJ36" s="59">
        <f t="shared" si="6"/>
        <v>0</v>
      </c>
      <c r="BK36" s="59">
        <f t="shared" si="0"/>
        <v>0</v>
      </c>
      <c r="BL36" s="102"/>
      <c r="BM36" s="1487"/>
      <c r="BN36" s="1487"/>
      <c r="BO36" s="103"/>
      <c r="BP36" s="1487"/>
      <c r="BQ36" s="1487"/>
      <c r="BR36" s="104"/>
      <c r="BS36" s="105"/>
      <c r="BT36" s="105"/>
      <c r="BU36" s="98"/>
      <c r="BV36" s="98"/>
      <c r="BW36" s="98"/>
      <c r="BX36" s="98"/>
      <c r="BY36" s="98"/>
      <c r="BZ36" s="98"/>
      <c r="CA36" s="98"/>
    </row>
    <row r="37" spans="1:79" ht="33.950000000000003" customHeight="1">
      <c r="A37" s="803"/>
      <c r="B37" s="462" t="s">
        <v>402</v>
      </c>
      <c r="C37" s="1520"/>
      <c r="D37" s="1536"/>
      <c r="E37" s="1521"/>
      <c r="F37" s="1488"/>
      <c r="G37" s="1488"/>
      <c r="H37" s="1510"/>
      <c r="I37" s="1511"/>
      <c r="J37" s="1511"/>
      <c r="K37" s="1511"/>
      <c r="L37" s="1512"/>
      <c r="M37" s="884"/>
      <c r="N37" s="1488"/>
      <c r="O37" s="1488"/>
      <c r="P37" s="1488"/>
      <c r="Q37" s="1489"/>
      <c r="R37" s="1490">
        <f t="shared" si="7"/>
        <v>0</v>
      </c>
      <c r="S37" s="1491"/>
      <c r="T37" s="715"/>
      <c r="U37" s="1492"/>
      <c r="V37" s="1493"/>
      <c r="W37" s="1493"/>
      <c r="X37" s="1493"/>
      <c r="Y37" s="1493"/>
      <c r="Z37" s="1494"/>
      <c r="AA37" s="721"/>
      <c r="AB37" s="720" t="s">
        <v>16</v>
      </c>
      <c r="AC37" s="1495"/>
      <c r="AD37" s="1496"/>
      <c r="AE37" s="1497"/>
      <c r="AF37" s="1498"/>
      <c r="AG37" s="1499"/>
      <c r="AH37" s="1510"/>
      <c r="AI37" s="1511"/>
      <c r="AJ37" s="1511"/>
      <c r="AK37" s="1511"/>
      <c r="AL37" s="1512"/>
      <c r="AM37" s="884"/>
      <c r="AN37" s="1488"/>
      <c r="AO37" s="1488"/>
      <c r="AP37" s="1488"/>
      <c r="AQ37" s="1489"/>
      <c r="AR37" s="1490">
        <f t="shared" si="8"/>
        <v>0</v>
      </c>
      <c r="AS37" s="1491"/>
      <c r="AT37" s="715"/>
      <c r="AU37" s="1492"/>
      <c r="AV37" s="1493"/>
      <c r="AW37" s="1493"/>
      <c r="AX37" s="1493"/>
      <c r="AY37" s="1493"/>
      <c r="AZ37" s="1494"/>
      <c r="BA37" s="96"/>
      <c r="BB37" s="59">
        <f t="shared" si="1"/>
        <v>0</v>
      </c>
      <c r="BC37" s="100">
        <f>5*BB37</f>
        <v>0</v>
      </c>
      <c r="BD37" s="106"/>
      <c r="BE37" s="59">
        <f t="shared" si="2"/>
        <v>0</v>
      </c>
      <c r="BF37" s="59">
        <f t="shared" si="3"/>
        <v>0</v>
      </c>
      <c r="BG37" s="59">
        <f t="shared" si="4"/>
        <v>0</v>
      </c>
      <c r="BH37" s="59">
        <f t="shared" si="4"/>
        <v>0</v>
      </c>
      <c r="BI37" s="59">
        <f t="shared" si="5"/>
        <v>0</v>
      </c>
      <c r="BJ37" s="59">
        <f t="shared" si="6"/>
        <v>0</v>
      </c>
      <c r="BK37" s="59">
        <f t="shared" si="0"/>
        <v>0</v>
      </c>
      <c r="BL37" s="102"/>
      <c r="BM37" s="1487"/>
      <c r="BN37" s="1487"/>
      <c r="BO37" s="103"/>
      <c r="BP37" s="1487"/>
      <c r="BQ37" s="1487"/>
      <c r="BR37" s="104"/>
      <c r="BS37" s="105"/>
      <c r="BT37" s="105"/>
      <c r="BU37" s="98"/>
      <c r="BV37" s="98"/>
      <c r="BW37" s="98"/>
      <c r="BX37" s="98"/>
      <c r="BY37" s="98"/>
      <c r="BZ37" s="98"/>
      <c r="CA37" s="98"/>
    </row>
    <row r="38" spans="1:79" ht="33.950000000000003" customHeight="1">
      <c r="A38" s="803"/>
      <c r="B38" s="462" t="s">
        <v>402</v>
      </c>
      <c r="C38" s="1520"/>
      <c r="D38" s="1536"/>
      <c r="E38" s="1521"/>
      <c r="F38" s="1488"/>
      <c r="G38" s="1488"/>
      <c r="H38" s="1510"/>
      <c r="I38" s="1511"/>
      <c r="J38" s="1511"/>
      <c r="K38" s="1511"/>
      <c r="L38" s="1512"/>
      <c r="M38" s="884"/>
      <c r="N38" s="1488"/>
      <c r="O38" s="1488"/>
      <c r="P38" s="1488"/>
      <c r="Q38" s="1489"/>
      <c r="R38" s="1490">
        <f t="shared" si="7"/>
        <v>0</v>
      </c>
      <c r="S38" s="1491"/>
      <c r="T38" s="715"/>
      <c r="U38" s="1492"/>
      <c r="V38" s="1493"/>
      <c r="W38" s="1493"/>
      <c r="X38" s="1493"/>
      <c r="Y38" s="1493"/>
      <c r="Z38" s="1494"/>
      <c r="AA38" s="721"/>
      <c r="AB38" s="720" t="s">
        <v>16</v>
      </c>
      <c r="AC38" s="1495"/>
      <c r="AD38" s="1496"/>
      <c r="AE38" s="1497"/>
      <c r="AF38" s="1498"/>
      <c r="AG38" s="1499"/>
      <c r="AH38" s="1510"/>
      <c r="AI38" s="1511"/>
      <c r="AJ38" s="1511"/>
      <c r="AK38" s="1511"/>
      <c r="AL38" s="1512"/>
      <c r="AM38" s="884"/>
      <c r="AN38" s="1488"/>
      <c r="AO38" s="1488"/>
      <c r="AP38" s="1488"/>
      <c r="AQ38" s="1489"/>
      <c r="AR38" s="1490">
        <f t="shared" si="8"/>
        <v>0</v>
      </c>
      <c r="AS38" s="1491"/>
      <c r="AT38" s="715"/>
      <c r="AU38" s="1492"/>
      <c r="AV38" s="1493"/>
      <c r="AW38" s="1493"/>
      <c r="AX38" s="1493"/>
      <c r="AY38" s="1493"/>
      <c r="AZ38" s="1494"/>
      <c r="BA38" s="96"/>
      <c r="BB38" s="59">
        <f t="shared" si="1"/>
        <v>0</v>
      </c>
      <c r="BC38" s="100">
        <f>4*BB38</f>
        <v>0</v>
      </c>
      <c r="BD38" s="106"/>
      <c r="BE38" s="59">
        <f t="shared" si="2"/>
        <v>0</v>
      </c>
      <c r="BF38" s="59">
        <f t="shared" si="3"/>
        <v>0</v>
      </c>
      <c r="BG38" s="59">
        <f t="shared" si="4"/>
        <v>0</v>
      </c>
      <c r="BH38" s="59">
        <f t="shared" si="4"/>
        <v>0</v>
      </c>
      <c r="BI38" s="59">
        <f t="shared" si="5"/>
        <v>0</v>
      </c>
      <c r="BJ38" s="59">
        <f t="shared" si="6"/>
        <v>0</v>
      </c>
      <c r="BK38" s="59">
        <f t="shared" si="0"/>
        <v>0</v>
      </c>
      <c r="BL38" s="102"/>
      <c r="BM38" s="1487"/>
      <c r="BN38" s="1487"/>
      <c r="BO38" s="103"/>
      <c r="BP38" s="1487"/>
      <c r="BQ38" s="1487"/>
      <c r="BR38" s="104"/>
      <c r="BS38" s="105"/>
      <c r="BT38" s="105"/>
      <c r="BU38" s="98"/>
      <c r="BV38" s="98"/>
      <c r="BW38" s="98"/>
      <c r="BX38" s="98"/>
      <c r="BY38" s="98"/>
      <c r="BZ38" s="98"/>
      <c r="CA38" s="98"/>
    </row>
    <row r="39" spans="1:79" ht="33.950000000000003" customHeight="1">
      <c r="A39" s="803"/>
      <c r="B39" s="462" t="s">
        <v>402</v>
      </c>
      <c r="C39" s="1520"/>
      <c r="D39" s="1536"/>
      <c r="E39" s="1521"/>
      <c r="F39" s="1488"/>
      <c r="G39" s="1488"/>
      <c r="H39" s="1510"/>
      <c r="I39" s="1511"/>
      <c r="J39" s="1511"/>
      <c r="K39" s="1511"/>
      <c r="L39" s="1512"/>
      <c r="M39" s="884"/>
      <c r="N39" s="1488"/>
      <c r="O39" s="1488"/>
      <c r="P39" s="1488"/>
      <c r="Q39" s="1489"/>
      <c r="R39" s="1490">
        <f t="shared" si="7"/>
        <v>0</v>
      </c>
      <c r="S39" s="1491"/>
      <c r="T39" s="715"/>
      <c r="U39" s="1492"/>
      <c r="V39" s="1493"/>
      <c r="W39" s="1493"/>
      <c r="X39" s="1493"/>
      <c r="Y39" s="1493"/>
      <c r="Z39" s="1494"/>
      <c r="AA39" s="721"/>
      <c r="AB39" s="720" t="s">
        <v>16</v>
      </c>
      <c r="AC39" s="1495"/>
      <c r="AD39" s="1496"/>
      <c r="AE39" s="1497"/>
      <c r="AF39" s="1498"/>
      <c r="AG39" s="1499"/>
      <c r="AH39" s="1510"/>
      <c r="AI39" s="1511"/>
      <c r="AJ39" s="1511"/>
      <c r="AK39" s="1511"/>
      <c r="AL39" s="1512"/>
      <c r="AM39" s="884"/>
      <c r="AN39" s="1488"/>
      <c r="AO39" s="1488"/>
      <c r="AP39" s="1488"/>
      <c r="AQ39" s="1489"/>
      <c r="AR39" s="1490">
        <f t="shared" si="8"/>
        <v>0</v>
      </c>
      <c r="AS39" s="1491"/>
      <c r="AT39" s="715"/>
      <c r="AU39" s="1492"/>
      <c r="AV39" s="1493"/>
      <c r="AW39" s="1493"/>
      <c r="AX39" s="1493"/>
      <c r="AY39" s="1493"/>
      <c r="AZ39" s="1494"/>
      <c r="BA39" s="96"/>
      <c r="BB39" s="59">
        <f t="shared" si="1"/>
        <v>0</v>
      </c>
      <c r="BC39" s="100">
        <f>3*BB39</f>
        <v>0</v>
      </c>
      <c r="BD39" s="106"/>
      <c r="BE39" s="59">
        <f t="shared" si="2"/>
        <v>0</v>
      </c>
      <c r="BF39" s="59">
        <f t="shared" si="3"/>
        <v>0</v>
      </c>
      <c r="BG39" s="59">
        <f t="shared" si="4"/>
        <v>0</v>
      </c>
      <c r="BH39" s="59">
        <f t="shared" si="4"/>
        <v>0</v>
      </c>
      <c r="BI39" s="59">
        <f t="shared" si="5"/>
        <v>0</v>
      </c>
      <c r="BJ39" s="59">
        <f t="shared" si="6"/>
        <v>0</v>
      </c>
      <c r="BK39" s="59">
        <f t="shared" si="0"/>
        <v>0</v>
      </c>
      <c r="BL39" s="102"/>
      <c r="BM39" s="1487"/>
      <c r="BN39" s="1487"/>
      <c r="BO39" s="103"/>
      <c r="BP39" s="1487"/>
      <c r="BQ39" s="1487"/>
      <c r="BR39" s="104"/>
      <c r="BS39" s="105"/>
      <c r="BT39" s="105"/>
      <c r="BU39" s="98"/>
      <c r="BV39" s="98"/>
      <c r="BW39" s="98"/>
      <c r="BX39" s="98"/>
      <c r="BY39" s="98"/>
      <c r="BZ39" s="98"/>
      <c r="CA39" s="98"/>
    </row>
    <row r="40" spans="1:79" ht="33.950000000000003" customHeight="1">
      <c r="A40" s="803"/>
      <c r="B40" s="462" t="s">
        <v>402</v>
      </c>
      <c r="C40" s="1520"/>
      <c r="D40" s="1536"/>
      <c r="E40" s="1521"/>
      <c r="F40" s="1488"/>
      <c r="G40" s="1488"/>
      <c r="H40" s="1510"/>
      <c r="I40" s="1511"/>
      <c r="J40" s="1511"/>
      <c r="K40" s="1511"/>
      <c r="L40" s="1512"/>
      <c r="M40" s="884"/>
      <c r="N40" s="1488"/>
      <c r="O40" s="1488"/>
      <c r="P40" s="1488"/>
      <c r="Q40" s="1489"/>
      <c r="R40" s="1490">
        <f t="shared" si="7"/>
        <v>0</v>
      </c>
      <c r="S40" s="1491"/>
      <c r="T40" s="715"/>
      <c r="U40" s="1492"/>
      <c r="V40" s="1493"/>
      <c r="W40" s="1493"/>
      <c r="X40" s="1493"/>
      <c r="Y40" s="1493"/>
      <c r="Z40" s="1494"/>
      <c r="AA40" s="721"/>
      <c r="AB40" s="720" t="s">
        <v>16</v>
      </c>
      <c r="AC40" s="1495"/>
      <c r="AD40" s="1496"/>
      <c r="AE40" s="1497"/>
      <c r="AF40" s="1498"/>
      <c r="AG40" s="1499"/>
      <c r="AH40" s="1510"/>
      <c r="AI40" s="1511"/>
      <c r="AJ40" s="1511"/>
      <c r="AK40" s="1511"/>
      <c r="AL40" s="1512"/>
      <c r="AM40" s="884"/>
      <c r="AN40" s="1488"/>
      <c r="AO40" s="1488"/>
      <c r="AP40" s="1488"/>
      <c r="AQ40" s="1489"/>
      <c r="AR40" s="1490">
        <f t="shared" si="8"/>
        <v>0</v>
      </c>
      <c r="AS40" s="1491"/>
      <c r="AT40" s="715"/>
      <c r="AU40" s="1492"/>
      <c r="AV40" s="1493"/>
      <c r="AW40" s="1493"/>
      <c r="AX40" s="1493"/>
      <c r="AY40" s="1493"/>
      <c r="AZ40" s="1494"/>
      <c r="BA40" s="96"/>
      <c r="BB40" s="59">
        <f t="shared" si="1"/>
        <v>0</v>
      </c>
      <c r="BC40" s="100">
        <f>2*BB40</f>
        <v>0</v>
      </c>
      <c r="BD40" s="106"/>
      <c r="BE40" s="59">
        <f t="shared" si="2"/>
        <v>0</v>
      </c>
      <c r="BF40" s="59">
        <f t="shared" si="3"/>
        <v>0</v>
      </c>
      <c r="BG40" s="59">
        <f t="shared" si="4"/>
        <v>0</v>
      </c>
      <c r="BH40" s="59">
        <f t="shared" si="4"/>
        <v>0</v>
      </c>
      <c r="BI40" s="59">
        <f t="shared" si="5"/>
        <v>0</v>
      </c>
      <c r="BJ40" s="59">
        <f t="shared" si="6"/>
        <v>0</v>
      </c>
      <c r="BK40" s="59">
        <f t="shared" si="0"/>
        <v>0</v>
      </c>
      <c r="BL40" s="102"/>
      <c r="BM40" s="1487"/>
      <c r="BN40" s="1487"/>
      <c r="BO40" s="103"/>
      <c r="BP40" s="1487"/>
      <c r="BQ40" s="1487"/>
      <c r="BR40" s="104"/>
      <c r="BS40" s="105"/>
      <c r="BT40" s="105"/>
      <c r="BU40" s="98"/>
      <c r="BV40" s="98"/>
      <c r="BW40" s="98"/>
      <c r="BX40" s="98"/>
      <c r="BY40" s="98"/>
      <c r="BZ40" s="98"/>
      <c r="CA40" s="98"/>
    </row>
    <row r="41" spans="1:79" ht="33.950000000000003" customHeight="1" thickBot="1">
      <c r="A41" s="803"/>
      <c r="B41" s="463" t="s">
        <v>402</v>
      </c>
      <c r="C41" s="1641"/>
      <c r="D41" s="1642"/>
      <c r="E41" s="1643"/>
      <c r="F41" s="1640"/>
      <c r="G41" s="1640"/>
      <c r="H41" s="1517"/>
      <c r="I41" s="1518"/>
      <c r="J41" s="1518"/>
      <c r="K41" s="1518"/>
      <c r="L41" s="1519"/>
      <c r="M41" s="917"/>
      <c r="N41" s="1501"/>
      <c r="O41" s="1502"/>
      <c r="P41" s="1501"/>
      <c r="Q41" s="1503"/>
      <c r="R41" s="1515">
        <f t="shared" si="7"/>
        <v>0</v>
      </c>
      <c r="S41" s="1516"/>
      <c r="T41" s="716"/>
      <c r="U41" s="1482"/>
      <c r="V41" s="1483"/>
      <c r="W41" s="1483"/>
      <c r="X41" s="1483"/>
      <c r="Y41" s="1483"/>
      <c r="Z41" s="1484"/>
      <c r="AA41" s="722"/>
      <c r="AB41" s="723" t="s">
        <v>16</v>
      </c>
      <c r="AC41" s="1504"/>
      <c r="AD41" s="1505"/>
      <c r="AE41" s="1506"/>
      <c r="AF41" s="1507"/>
      <c r="AG41" s="1508"/>
      <c r="AH41" s="1517"/>
      <c r="AI41" s="1518"/>
      <c r="AJ41" s="1518"/>
      <c r="AK41" s="1518"/>
      <c r="AL41" s="1519"/>
      <c r="AM41" s="917"/>
      <c r="AN41" s="1501"/>
      <c r="AO41" s="1502"/>
      <c r="AP41" s="1501"/>
      <c r="AQ41" s="1503"/>
      <c r="AR41" s="1515">
        <f t="shared" si="8"/>
        <v>0</v>
      </c>
      <c r="AS41" s="1516"/>
      <c r="AT41" s="923"/>
      <c r="AU41" s="1482"/>
      <c r="AV41" s="1483"/>
      <c r="AW41" s="1483"/>
      <c r="AX41" s="1483"/>
      <c r="AY41" s="1483"/>
      <c r="AZ41" s="1484"/>
      <c r="BA41" s="96"/>
      <c r="BB41" s="59">
        <f t="shared" si="1"/>
        <v>0</v>
      </c>
      <c r="BC41" s="100">
        <f>1*BB41</f>
        <v>0</v>
      </c>
      <c r="BD41" s="106"/>
      <c r="BE41" s="59">
        <f t="shared" si="2"/>
        <v>0</v>
      </c>
      <c r="BF41" s="59">
        <f t="shared" si="3"/>
        <v>0</v>
      </c>
      <c r="BG41" s="59">
        <f>INDEX(D$30:D$41,MATCH($BK41,$BC$30:$BC$41,0))</f>
        <v>0</v>
      </c>
      <c r="BH41" s="59">
        <f t="shared" si="4"/>
        <v>0</v>
      </c>
      <c r="BI41" s="59">
        <f t="shared" si="5"/>
        <v>0</v>
      </c>
      <c r="BJ41" s="59">
        <f t="shared" si="6"/>
        <v>0</v>
      </c>
      <c r="BK41" s="59">
        <f t="shared" si="0"/>
        <v>0</v>
      </c>
      <c r="BL41" s="102"/>
      <c r="BM41" s="1487"/>
      <c r="BN41" s="1487"/>
      <c r="BO41" s="103"/>
      <c r="BP41" s="1487"/>
      <c r="BQ41" s="1487"/>
      <c r="BR41" s="104"/>
      <c r="BS41" s="105"/>
      <c r="BT41" s="105"/>
      <c r="BU41" s="98"/>
      <c r="BV41" s="98"/>
      <c r="BW41" s="98"/>
      <c r="BX41" s="98"/>
      <c r="BY41" s="98"/>
      <c r="BZ41" s="98"/>
      <c r="CA41" s="98"/>
    </row>
    <row r="42" spans="1:79" ht="8.1" customHeight="1">
      <c r="A42" s="411"/>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96"/>
      <c r="BB42" s="96"/>
      <c r="BC42" s="97"/>
      <c r="BD42" s="97"/>
      <c r="BE42" s="97"/>
      <c r="BF42" s="97"/>
      <c r="BG42" s="96"/>
      <c r="BH42" s="96"/>
      <c r="BI42" s="96"/>
      <c r="BJ42" s="96"/>
      <c r="BK42" s="96"/>
      <c r="BL42" s="96"/>
      <c r="BM42" s="96"/>
      <c r="BN42" s="96"/>
      <c r="BO42" s="96"/>
      <c r="BP42" s="96"/>
      <c r="BQ42" s="96"/>
      <c r="BR42" s="98"/>
      <c r="BS42" s="98"/>
      <c r="BT42" s="98"/>
      <c r="BU42" s="98"/>
      <c r="BV42" s="98"/>
      <c r="BW42" s="98"/>
      <c r="BX42" s="98"/>
      <c r="BY42" s="98"/>
      <c r="BZ42" s="98"/>
      <c r="CA42" s="98"/>
    </row>
    <row r="43" spans="1:79" ht="18.95" customHeight="1">
      <c r="A43" s="429"/>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25"/>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96"/>
      <c r="BB43" s="99"/>
      <c r="BC43" s="97"/>
      <c r="BD43" s="97"/>
      <c r="BE43" s="97"/>
      <c r="BF43" s="97"/>
      <c r="BG43" s="96"/>
      <c r="BH43" s="96"/>
      <c r="BI43" s="96"/>
      <c r="BJ43" s="96"/>
      <c r="BK43" s="96"/>
      <c r="BL43" s="96"/>
      <c r="BM43" s="96"/>
      <c r="BN43" s="96"/>
      <c r="BO43" s="96"/>
      <c r="BP43" s="96"/>
      <c r="BQ43" s="96"/>
      <c r="BR43" s="98"/>
      <c r="BS43" s="98"/>
      <c r="BT43" s="98"/>
      <c r="BU43" s="98"/>
      <c r="BV43" s="98"/>
      <c r="BW43" s="98"/>
      <c r="BX43" s="98"/>
      <c r="BY43" s="98"/>
      <c r="BZ43" s="98"/>
      <c r="CA43" s="98"/>
    </row>
    <row r="44" spans="1:79" ht="13.5" customHeight="1">
      <c r="A44" s="428"/>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96"/>
      <c r="BB44" s="99"/>
      <c r="BC44" s="97"/>
      <c r="BD44" s="97"/>
      <c r="BE44" s="97"/>
      <c r="BF44" s="97"/>
      <c r="BG44" s="96"/>
      <c r="BH44" s="96"/>
      <c r="BI44" s="96"/>
      <c r="BJ44" s="96"/>
      <c r="BK44" s="96"/>
      <c r="BL44" s="96"/>
      <c r="BM44" s="96"/>
      <c r="BN44" s="96"/>
      <c r="BO44" s="96"/>
      <c r="BP44" s="96"/>
      <c r="BQ44" s="96"/>
      <c r="BR44" s="98"/>
      <c r="BS44" s="98"/>
      <c r="BT44" s="98"/>
      <c r="BU44" s="98"/>
      <c r="BV44" s="98"/>
      <c r="BW44" s="98"/>
      <c r="BX44" s="98"/>
      <c r="BY44" s="98"/>
      <c r="BZ44" s="98"/>
      <c r="CA44" s="98"/>
    </row>
    <row r="45" spans="1:79" ht="13.5" customHeight="1">
      <c r="A45" s="428"/>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426"/>
      <c r="AW45" s="426"/>
      <c r="AX45" s="426"/>
      <c r="AY45" s="426"/>
      <c r="AZ45" s="426"/>
      <c r="BA45" s="96"/>
      <c r="BB45" s="107"/>
      <c r="BC45" s="108"/>
      <c r="BD45" s="108"/>
      <c r="BE45" s="97"/>
      <c r="BF45" s="97"/>
      <c r="BG45" s="96"/>
      <c r="BH45" s="96"/>
      <c r="BI45" s="96"/>
      <c r="BJ45" s="96"/>
      <c r="BK45" s="96"/>
      <c r="BL45" s="96"/>
      <c r="BM45" s="96"/>
      <c r="BN45" s="96"/>
      <c r="BO45" s="96"/>
      <c r="BP45" s="96"/>
      <c r="BQ45" s="96"/>
      <c r="BR45" s="98"/>
      <c r="BS45" s="98"/>
      <c r="BT45" s="98"/>
      <c r="BU45" s="98"/>
      <c r="BV45" s="98"/>
      <c r="BW45" s="98"/>
      <c r="BX45" s="98"/>
      <c r="BY45" s="98"/>
      <c r="BZ45" s="98"/>
      <c r="CA45" s="98"/>
    </row>
    <row r="46" spans="1:79" ht="13.5" customHeight="1">
      <c r="A46" s="428"/>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c r="AZ46" s="426"/>
      <c r="BA46" s="96"/>
      <c r="BB46" s="107"/>
      <c r="BC46" s="99"/>
      <c r="BD46" s="108"/>
      <c r="BE46" s="97"/>
      <c r="BF46" s="97"/>
      <c r="BG46" s="96"/>
      <c r="BH46" s="96"/>
      <c r="BI46" s="96"/>
      <c r="BJ46" s="96"/>
      <c r="BK46" s="96"/>
      <c r="BL46" s="96"/>
      <c r="BM46" s="96"/>
      <c r="BN46" s="96"/>
      <c r="BO46" s="96"/>
      <c r="BP46" s="96"/>
      <c r="BQ46" s="96"/>
      <c r="BR46" s="98"/>
      <c r="BS46" s="98"/>
      <c r="BT46" s="98"/>
      <c r="BU46" s="98"/>
      <c r="BV46" s="98"/>
      <c r="BW46" s="98"/>
      <c r="BX46" s="98"/>
      <c r="BY46" s="98"/>
      <c r="BZ46" s="98"/>
      <c r="CA46" s="98"/>
    </row>
    <row r="47" spans="1:79" ht="13.5" customHeight="1">
      <c r="A47" s="418"/>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24"/>
      <c r="AB47" s="424"/>
      <c r="AC47" s="424"/>
      <c r="AD47" s="424"/>
      <c r="AE47" s="424"/>
      <c r="AF47" s="1479"/>
      <c r="AG47" s="1479"/>
      <c r="AH47" s="1479"/>
      <c r="AI47" s="1479"/>
      <c r="AJ47" s="1479"/>
      <c r="AK47" s="1479"/>
      <c r="AL47" s="1479"/>
      <c r="AM47" s="1479"/>
      <c r="AN47" s="1479"/>
      <c r="AO47" s="1479"/>
      <c r="AP47" s="424"/>
      <c r="AQ47" s="424"/>
      <c r="AR47" s="424"/>
      <c r="AS47" s="424"/>
      <c r="AT47" s="424"/>
      <c r="AU47" s="424"/>
      <c r="AV47" s="424"/>
      <c r="AW47" s="424"/>
      <c r="AX47" s="424"/>
      <c r="AY47" s="424"/>
      <c r="AZ47" s="424"/>
      <c r="BA47" s="96"/>
      <c r="BB47" s="99"/>
      <c r="BC47" s="99"/>
      <c r="BD47" s="108"/>
      <c r="BE47" s="97"/>
      <c r="BF47" s="97"/>
      <c r="BG47" s="96"/>
      <c r="BH47" s="96"/>
      <c r="BI47" s="96"/>
      <c r="BJ47" s="96"/>
      <c r="BK47" s="96"/>
      <c r="BL47" s="96"/>
      <c r="BM47" s="96"/>
      <c r="BN47" s="96"/>
      <c r="BO47" s="96"/>
      <c r="BP47" s="96"/>
      <c r="BQ47" s="96"/>
      <c r="BR47" s="98"/>
      <c r="BS47" s="98"/>
      <c r="BT47" s="98"/>
      <c r="BU47" s="98"/>
      <c r="BV47" s="98"/>
      <c r="BW47" s="98"/>
      <c r="BX47" s="98"/>
      <c r="BY47" s="98"/>
      <c r="BZ47" s="98"/>
      <c r="CA47" s="98"/>
    </row>
    <row r="48" spans="1:79" ht="13.5" customHeight="1">
      <c r="A48" s="418"/>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24"/>
      <c r="AB48" s="424"/>
      <c r="AC48" s="424"/>
      <c r="AD48" s="424"/>
      <c r="AE48" s="424"/>
      <c r="AF48" s="1479"/>
      <c r="AG48" s="1479"/>
      <c r="AH48" s="1479"/>
      <c r="AI48" s="1479"/>
      <c r="AJ48" s="1535"/>
      <c r="AK48" s="1535"/>
      <c r="AL48" s="1535"/>
      <c r="AM48" s="1535"/>
      <c r="AN48" s="1535"/>
      <c r="AO48" s="1535"/>
      <c r="AP48" s="424"/>
      <c r="AQ48" s="424"/>
      <c r="AR48" s="424"/>
      <c r="AS48" s="424"/>
      <c r="AT48" s="424"/>
      <c r="AU48" s="424"/>
      <c r="AV48" s="424"/>
      <c r="AW48" s="424"/>
      <c r="AX48" s="424"/>
      <c r="AY48" s="424"/>
      <c r="AZ48" s="424"/>
      <c r="BA48" s="96"/>
      <c r="BB48" s="109" t="s">
        <v>355</v>
      </c>
      <c r="BC48" s="109" t="s">
        <v>416</v>
      </c>
      <c r="BD48" s="110" t="s">
        <v>417</v>
      </c>
      <c r="BE48" s="97"/>
      <c r="BF48" s="97"/>
      <c r="BG48" s="96"/>
      <c r="BH48" s="96"/>
      <c r="BI48" s="96"/>
      <c r="BJ48" s="96"/>
      <c r="BK48" s="96"/>
      <c r="BL48" s="96"/>
      <c r="BM48" s="96"/>
      <c r="BN48" s="96"/>
      <c r="BO48" s="96"/>
      <c r="BP48" s="96"/>
      <c r="BQ48" s="96"/>
      <c r="BR48" s="98"/>
      <c r="BS48" s="98"/>
      <c r="BT48" s="98"/>
      <c r="BU48" s="98"/>
      <c r="BV48" s="98"/>
      <c r="BW48" s="98"/>
      <c r="BX48" s="98"/>
      <c r="BY48" s="98"/>
      <c r="BZ48" s="98"/>
      <c r="CA48" s="98"/>
    </row>
    <row r="49" spans="1:79" ht="20.100000000000001" customHeight="1">
      <c r="A49" s="414"/>
      <c r="B49" s="415"/>
      <c r="C49" s="414"/>
      <c r="D49" s="414"/>
      <c r="E49" s="414"/>
      <c r="F49" s="414"/>
      <c r="G49" s="414"/>
      <c r="H49" s="414"/>
      <c r="I49" s="414"/>
      <c r="J49" s="414"/>
      <c r="K49" s="416"/>
      <c r="L49" s="415"/>
      <c r="M49" s="416"/>
      <c r="N49" s="416"/>
      <c r="O49" s="415"/>
      <c r="P49" s="416"/>
      <c r="Q49" s="416"/>
      <c r="R49" s="415"/>
      <c r="S49" s="416"/>
      <c r="T49" s="416"/>
      <c r="U49" s="415"/>
      <c r="V49" s="416"/>
      <c r="W49" s="417"/>
      <c r="X49" s="415"/>
      <c r="Y49" s="417"/>
      <c r="Z49" s="415"/>
      <c r="AA49" s="419"/>
      <c r="AB49" s="410"/>
      <c r="AC49" s="427"/>
      <c r="AD49" s="427"/>
      <c r="AE49" s="427"/>
      <c r="AF49" s="1479"/>
      <c r="AG49" s="1479"/>
      <c r="AH49" s="1479"/>
      <c r="AI49" s="1479"/>
      <c r="AJ49" s="1535"/>
      <c r="AK49" s="1535"/>
      <c r="AL49" s="1535"/>
      <c r="AM49" s="1535"/>
      <c r="AN49" s="1535"/>
      <c r="AO49" s="1535"/>
      <c r="AP49" s="422"/>
      <c r="AQ49" s="420"/>
      <c r="AR49" s="421"/>
      <c r="AS49" s="422"/>
      <c r="AT49" s="420"/>
      <c r="AU49" s="421"/>
      <c r="AV49" s="422"/>
      <c r="AW49" s="423"/>
      <c r="AX49" s="410"/>
      <c r="AY49" s="423"/>
      <c r="AZ49" s="410"/>
      <c r="BA49" s="96"/>
      <c r="BB49" s="109">
        <f>K49*M49+N49*P49+Q49*S49+T49*V49</f>
        <v>0</v>
      </c>
      <c r="BC49" s="109">
        <f>BJ30</f>
        <v>0</v>
      </c>
      <c r="BD49" s="110">
        <f>Y49</f>
        <v>0</v>
      </c>
      <c r="BE49" s="97"/>
      <c r="BF49" s="97"/>
      <c r="BG49" s="96"/>
      <c r="BH49" s="96"/>
      <c r="BI49" s="96"/>
      <c r="BJ49" s="96"/>
      <c r="BK49" s="96"/>
      <c r="BL49" s="96"/>
      <c r="BM49" s="96"/>
      <c r="BN49" s="96"/>
      <c r="BO49" s="96"/>
      <c r="BP49" s="96"/>
      <c r="BQ49" s="96"/>
      <c r="BR49" s="98"/>
      <c r="BS49" s="98"/>
      <c r="BT49" s="98"/>
      <c r="BU49" s="98"/>
      <c r="BV49" s="98"/>
      <c r="BW49" s="98"/>
      <c r="BX49" s="98"/>
      <c r="BY49" s="98"/>
      <c r="BZ49" s="98"/>
      <c r="CA49" s="98"/>
    </row>
    <row r="50" spans="1:79" ht="20.100000000000001" customHeight="1">
      <c r="A50" s="414"/>
      <c r="B50" s="415"/>
      <c r="C50" s="414"/>
      <c r="D50" s="414"/>
      <c r="E50" s="414"/>
      <c r="F50" s="414"/>
      <c r="G50" s="414"/>
      <c r="H50" s="414"/>
      <c r="I50" s="414"/>
      <c r="J50" s="414"/>
      <c r="K50" s="416"/>
      <c r="L50" s="415"/>
      <c r="M50" s="416"/>
      <c r="N50" s="416"/>
      <c r="O50" s="415"/>
      <c r="P50" s="416"/>
      <c r="Q50" s="416"/>
      <c r="R50" s="415"/>
      <c r="S50" s="416"/>
      <c r="T50" s="416"/>
      <c r="U50" s="415"/>
      <c r="V50" s="416"/>
      <c r="W50" s="417"/>
      <c r="X50" s="415"/>
      <c r="Y50" s="417"/>
      <c r="Z50" s="415"/>
      <c r="AA50" s="420"/>
      <c r="AB50" s="410"/>
      <c r="AC50" s="427"/>
      <c r="AD50" s="427"/>
      <c r="AE50" s="427"/>
      <c r="AF50" s="1509"/>
      <c r="AG50" s="1509"/>
      <c r="AH50" s="1509"/>
      <c r="AI50" s="1509"/>
      <c r="AJ50" s="1486"/>
      <c r="AK50" s="1486"/>
      <c r="AL50" s="1486"/>
      <c r="AM50" s="1486"/>
      <c r="AN50" s="1500"/>
      <c r="AO50" s="1500"/>
      <c r="AP50" s="422"/>
      <c r="AQ50" s="420"/>
      <c r="AR50" s="421"/>
      <c r="AS50" s="422"/>
      <c r="AT50" s="420"/>
      <c r="AU50" s="421"/>
      <c r="AV50" s="422"/>
      <c r="AW50" s="423"/>
      <c r="AX50" s="410"/>
      <c r="AY50" s="423"/>
      <c r="AZ50" s="410"/>
      <c r="BA50" s="96"/>
      <c r="BB50" s="109">
        <f>K50*M50+N50*P50+Q50*S50+T50*V50</f>
        <v>0</v>
      </c>
      <c r="BC50" s="109">
        <f>BJ31</f>
        <v>0</v>
      </c>
      <c r="BD50" s="110"/>
      <c r="BE50" s="97"/>
      <c r="BF50" s="97"/>
      <c r="BG50" s="96"/>
      <c r="BH50" s="96"/>
      <c r="BI50" s="96"/>
      <c r="BJ50" s="96"/>
      <c r="BK50" s="96"/>
      <c r="BL50" s="96"/>
      <c r="BM50" s="96"/>
      <c r="BN50" s="96"/>
      <c r="BO50" s="96"/>
      <c r="BP50" s="96"/>
      <c r="BQ50" s="96"/>
      <c r="BR50" s="98"/>
      <c r="BS50" s="98"/>
      <c r="BT50" s="98"/>
      <c r="BU50" s="98"/>
      <c r="BV50" s="98"/>
      <c r="BW50" s="98"/>
      <c r="BX50" s="98"/>
      <c r="BY50" s="98"/>
      <c r="BZ50" s="98"/>
      <c r="CA50" s="98"/>
    </row>
    <row r="51" spans="1:79" ht="20.100000000000001" customHeight="1">
      <c r="A51" s="414"/>
      <c r="B51" s="415"/>
      <c r="C51" s="414"/>
      <c r="D51" s="414"/>
      <c r="E51" s="414"/>
      <c r="F51" s="414"/>
      <c r="G51" s="414"/>
      <c r="H51" s="414"/>
      <c r="I51" s="414"/>
      <c r="J51" s="414"/>
      <c r="K51" s="416"/>
      <c r="L51" s="415"/>
      <c r="M51" s="416"/>
      <c r="N51" s="416"/>
      <c r="O51" s="415"/>
      <c r="P51" s="416"/>
      <c r="Q51" s="416"/>
      <c r="R51" s="415"/>
      <c r="S51" s="416"/>
      <c r="T51" s="416"/>
      <c r="U51" s="415"/>
      <c r="V51" s="416"/>
      <c r="W51" s="417"/>
      <c r="X51" s="415"/>
      <c r="Y51" s="417"/>
      <c r="Z51" s="415"/>
      <c r="AA51" s="420"/>
      <c r="AB51" s="410"/>
      <c r="AC51" s="427"/>
      <c r="AD51" s="427"/>
      <c r="AE51" s="427"/>
      <c r="AF51" s="1509"/>
      <c r="AG51" s="1509"/>
      <c r="AH51" s="1509"/>
      <c r="AI51" s="1509"/>
      <c r="AJ51" s="1486"/>
      <c r="AK51" s="1486"/>
      <c r="AL51" s="1486"/>
      <c r="AM51" s="1486"/>
      <c r="AN51" s="1500"/>
      <c r="AO51" s="1500"/>
      <c r="AP51" s="422"/>
      <c r="AQ51" s="420"/>
      <c r="AR51" s="421"/>
      <c r="AS51" s="422"/>
      <c r="AT51" s="420"/>
      <c r="AU51" s="421"/>
      <c r="AV51" s="422"/>
      <c r="AW51" s="423"/>
      <c r="AX51" s="410"/>
      <c r="AY51" s="423"/>
      <c r="AZ51" s="410"/>
      <c r="BA51" s="96"/>
      <c r="BB51" s="109">
        <f>K51*M51+N51*P51+Q51*S51+T51*V51</f>
        <v>0</v>
      </c>
      <c r="BC51" s="109">
        <f>BJ32</f>
        <v>0</v>
      </c>
      <c r="BD51" s="110"/>
      <c r="BE51" s="97"/>
      <c r="BF51" s="97"/>
      <c r="BG51" s="96"/>
      <c r="BH51" s="96"/>
      <c r="BI51" s="96"/>
      <c r="BJ51" s="96"/>
      <c r="BK51" s="96"/>
      <c r="BL51" s="96"/>
      <c r="BM51" s="96"/>
      <c r="BN51" s="96"/>
      <c r="BO51" s="96"/>
      <c r="BP51" s="96"/>
      <c r="BQ51" s="96"/>
      <c r="BR51" s="98"/>
      <c r="BS51" s="98"/>
      <c r="BT51" s="98"/>
      <c r="BU51" s="98"/>
      <c r="BV51" s="98"/>
      <c r="BW51" s="98"/>
      <c r="BX51" s="98"/>
      <c r="BY51" s="98"/>
      <c r="BZ51" s="98"/>
      <c r="CA51" s="98"/>
    </row>
    <row r="52" spans="1:79" ht="20.100000000000001" customHeight="1">
      <c r="A52" s="414"/>
      <c r="B52" s="415"/>
      <c r="C52" s="414"/>
      <c r="D52" s="414"/>
      <c r="E52" s="414"/>
      <c r="F52" s="414"/>
      <c r="G52" s="414"/>
      <c r="H52" s="414"/>
      <c r="I52" s="414"/>
      <c r="J52" s="414"/>
      <c r="K52" s="416"/>
      <c r="L52" s="415"/>
      <c r="M52" s="416"/>
      <c r="N52" s="416"/>
      <c r="O52" s="415"/>
      <c r="P52" s="416"/>
      <c r="Q52" s="416"/>
      <c r="R52" s="415"/>
      <c r="S52" s="416"/>
      <c r="T52" s="416"/>
      <c r="U52" s="415"/>
      <c r="V52" s="416"/>
      <c r="W52" s="417"/>
      <c r="X52" s="415"/>
      <c r="Y52" s="417"/>
      <c r="Z52" s="415"/>
      <c r="AA52" s="420"/>
      <c r="AB52" s="410"/>
      <c r="AC52" s="427"/>
      <c r="AD52" s="427"/>
      <c r="AE52" s="427"/>
      <c r="AF52" s="1509"/>
      <c r="AG52" s="1509"/>
      <c r="AH52" s="1509"/>
      <c r="AI52" s="1509"/>
      <c r="AJ52" s="1486"/>
      <c r="AK52" s="1486"/>
      <c r="AL52" s="1486"/>
      <c r="AM52" s="1486"/>
      <c r="AN52" s="1500"/>
      <c r="AO52" s="1500"/>
      <c r="AP52" s="422"/>
      <c r="AQ52" s="420"/>
      <c r="AR52" s="421"/>
      <c r="AS52" s="422"/>
      <c r="AT52" s="420"/>
      <c r="AU52" s="421"/>
      <c r="AV52" s="422"/>
      <c r="AW52" s="423"/>
      <c r="AX52" s="410"/>
      <c r="AY52" s="423"/>
      <c r="AZ52" s="410"/>
      <c r="BA52" s="96"/>
      <c r="BB52" s="109">
        <f>K52*M52+N52*P52+Q52*S52+T52*V52</f>
        <v>0</v>
      </c>
      <c r="BC52" s="109">
        <f>BJ33</f>
        <v>0</v>
      </c>
      <c r="BD52" s="110"/>
      <c r="BE52" s="97"/>
      <c r="BF52" s="97"/>
      <c r="BG52" s="96"/>
      <c r="BH52" s="96"/>
      <c r="BI52" s="96"/>
      <c r="BJ52" s="96"/>
      <c r="BK52" s="96"/>
      <c r="BL52" s="96"/>
      <c r="BM52" s="96"/>
      <c r="BN52" s="96"/>
      <c r="BO52" s="96"/>
      <c r="BP52" s="96"/>
      <c r="BQ52" s="96"/>
      <c r="BR52" s="98"/>
      <c r="BS52" s="98"/>
      <c r="BT52" s="98"/>
      <c r="BU52" s="98"/>
      <c r="BV52" s="98"/>
      <c r="BW52" s="98"/>
      <c r="BX52" s="98"/>
      <c r="BY52" s="98"/>
      <c r="BZ52" s="98"/>
      <c r="CA52" s="98"/>
    </row>
    <row r="53" spans="1:79" ht="20.100000000000001" customHeight="1">
      <c r="A53" s="414"/>
      <c r="B53" s="415"/>
      <c r="C53" s="414"/>
      <c r="D53" s="414"/>
      <c r="E53" s="414"/>
      <c r="F53" s="414"/>
      <c r="G53" s="414"/>
      <c r="H53" s="414"/>
      <c r="I53" s="414"/>
      <c r="J53" s="414"/>
      <c r="K53" s="416"/>
      <c r="L53" s="415"/>
      <c r="M53" s="416"/>
      <c r="N53" s="416"/>
      <c r="O53" s="415"/>
      <c r="P53" s="416"/>
      <c r="Q53" s="416"/>
      <c r="R53" s="415"/>
      <c r="S53" s="416"/>
      <c r="T53" s="416"/>
      <c r="U53" s="415"/>
      <c r="V53" s="416"/>
      <c r="W53" s="417"/>
      <c r="X53" s="415"/>
      <c r="Y53" s="417"/>
      <c r="Z53" s="415"/>
      <c r="AA53" s="420"/>
      <c r="AB53" s="410"/>
      <c r="AC53" s="427"/>
      <c r="AD53" s="427"/>
      <c r="AE53" s="427"/>
      <c r="AF53" s="1509"/>
      <c r="AG53" s="1509"/>
      <c r="AH53" s="1509"/>
      <c r="AI53" s="1509"/>
      <c r="AJ53" s="1486"/>
      <c r="AK53" s="1486"/>
      <c r="AL53" s="1486"/>
      <c r="AM53" s="1486"/>
      <c r="AN53" s="1500"/>
      <c r="AO53" s="1500"/>
      <c r="AP53" s="422"/>
      <c r="AQ53" s="420"/>
      <c r="AR53" s="421"/>
      <c r="AS53" s="422"/>
      <c r="AT53" s="420"/>
      <c r="AU53" s="421"/>
      <c r="AV53" s="422"/>
      <c r="AW53" s="423"/>
      <c r="AX53" s="410"/>
      <c r="AY53" s="423"/>
      <c r="AZ53" s="410"/>
      <c r="BA53" s="96"/>
      <c r="BB53" s="109">
        <f>K53*M53+N53*P53+Q53*S53+T53*V53</f>
        <v>0</v>
      </c>
      <c r="BC53" s="109">
        <f>BJ34</f>
        <v>0</v>
      </c>
      <c r="BD53" s="110"/>
      <c r="BE53" s="97"/>
      <c r="BF53" s="97"/>
      <c r="BG53" s="96"/>
      <c r="BH53" s="96"/>
      <c r="BI53" s="96"/>
      <c r="BJ53" s="96"/>
      <c r="BK53" s="96"/>
      <c r="BL53" s="96"/>
      <c r="BM53" s="96"/>
      <c r="BN53" s="96"/>
      <c r="BO53" s="96"/>
      <c r="BP53" s="96"/>
      <c r="BQ53" s="96"/>
      <c r="BR53" s="98"/>
      <c r="BS53" s="98"/>
      <c r="BT53" s="98"/>
      <c r="BU53" s="98"/>
      <c r="BV53" s="98"/>
      <c r="BW53" s="98"/>
      <c r="BX53" s="98"/>
      <c r="BY53" s="98"/>
      <c r="BZ53" s="98"/>
      <c r="CA53" s="98"/>
    </row>
    <row r="54" spans="1:79" ht="15" customHeight="1" thickBot="1">
      <c r="A54" s="89" t="b">
        <v>0</v>
      </c>
      <c r="B54" s="89" t="b">
        <v>0</v>
      </c>
      <c r="C54" s="67"/>
      <c r="D54" s="67"/>
      <c r="E54" s="67"/>
      <c r="F54" s="67"/>
      <c r="G54" s="67"/>
      <c r="H54" s="67"/>
      <c r="I54" s="67"/>
      <c r="J54" s="67"/>
      <c r="K54" s="67"/>
      <c r="L54" s="68"/>
      <c r="M54" s="68"/>
      <c r="N54" s="68"/>
      <c r="O54" s="68"/>
      <c r="P54" s="68"/>
      <c r="Q54" s="68"/>
      <c r="R54" s="68"/>
      <c r="S54" s="68"/>
      <c r="T54" s="68"/>
      <c r="U54" s="68"/>
      <c r="V54" s="68"/>
      <c r="W54" s="68"/>
      <c r="X54" s="68"/>
      <c r="Y54" s="68"/>
      <c r="Z54" s="68"/>
      <c r="AA54" s="68"/>
      <c r="AB54" s="68"/>
      <c r="AC54" s="68"/>
      <c r="AD54" s="68"/>
      <c r="AE54" s="68"/>
      <c r="AF54" s="1509"/>
      <c r="AG54" s="1509"/>
      <c r="AH54" s="1509"/>
      <c r="AI54" s="1509"/>
      <c r="AJ54" s="1486"/>
      <c r="AK54" s="1486"/>
      <c r="AL54" s="1486"/>
      <c r="AM54" s="1486"/>
      <c r="AN54" s="1500"/>
      <c r="AO54" s="1500"/>
      <c r="AP54" s="68"/>
      <c r="AQ54" s="68"/>
      <c r="AR54" s="68"/>
      <c r="AS54" s="68"/>
      <c r="AT54" s="68"/>
      <c r="AU54" s="68"/>
      <c r="AV54" s="68"/>
      <c r="AW54" s="68"/>
      <c r="AX54" s="68"/>
      <c r="AY54" s="68"/>
      <c r="AZ54" s="68"/>
      <c r="BA54" s="96"/>
      <c r="BB54" s="99"/>
      <c r="BC54" s="108"/>
      <c r="BD54" s="108"/>
      <c r="BE54" s="97"/>
      <c r="BF54" s="97"/>
      <c r="BG54" s="96"/>
      <c r="BH54" s="96"/>
      <c r="BI54" s="96"/>
      <c r="BJ54" s="96"/>
      <c r="BK54" s="96"/>
      <c r="BL54" s="96"/>
      <c r="BM54" s="96"/>
      <c r="BN54" s="96"/>
      <c r="BO54" s="96"/>
      <c r="BP54" s="96"/>
      <c r="BQ54" s="96"/>
      <c r="BR54" s="98"/>
      <c r="BS54" s="98"/>
      <c r="BT54" s="98"/>
      <c r="BU54" s="98"/>
      <c r="BV54" s="98"/>
      <c r="BW54" s="98"/>
      <c r="BX54" s="98"/>
      <c r="BY54" s="98"/>
      <c r="BZ54" s="98"/>
      <c r="CA54" s="98"/>
    </row>
    <row r="55" spans="1:79" ht="13.5" customHeight="1" thickBot="1">
      <c r="A55" s="90" t="b">
        <v>0</v>
      </c>
      <c r="B55" s="90" t="b">
        <v>0</v>
      </c>
      <c r="C55" s="61"/>
      <c r="D55" s="61"/>
      <c r="E55" s="61"/>
      <c r="F55" s="61"/>
      <c r="G55" s="61"/>
      <c r="H55" s="61"/>
      <c r="I55" s="61"/>
      <c r="J55" s="61"/>
      <c r="K55" s="61"/>
      <c r="L55" s="69"/>
      <c r="M55" s="69"/>
      <c r="N55" s="69"/>
      <c r="O55" s="69"/>
      <c r="P55" s="69"/>
      <c r="Q55" s="69"/>
      <c r="R55" s="69"/>
      <c r="S55" s="69"/>
      <c r="T55" s="69"/>
      <c r="U55" s="69"/>
      <c r="V55" s="69"/>
      <c r="W55" s="69"/>
      <c r="X55" s="69"/>
      <c r="Y55" s="69"/>
      <c r="Z55" s="69"/>
      <c r="AA55" s="69"/>
      <c r="AB55" s="69"/>
      <c r="AC55" s="69"/>
      <c r="AD55" s="69"/>
      <c r="AE55" s="69"/>
      <c r="AF55" s="1485"/>
      <c r="AG55" s="1485"/>
      <c r="AH55" s="1485"/>
      <c r="AI55" s="1485"/>
      <c r="AJ55" s="1486"/>
      <c r="AK55" s="1486"/>
      <c r="AL55" s="1486"/>
      <c r="AM55" s="1486"/>
      <c r="AN55" s="1500"/>
      <c r="AO55" s="1500"/>
      <c r="AP55" s="69"/>
      <c r="AQ55" s="69"/>
      <c r="AR55" s="69"/>
      <c r="AS55" s="69"/>
      <c r="AT55" s="69"/>
      <c r="AU55" s="69"/>
      <c r="AV55" s="69"/>
      <c r="AW55" s="69"/>
      <c r="AX55" s="69"/>
      <c r="AY55" s="69"/>
      <c r="AZ55" s="69"/>
      <c r="BA55" s="96"/>
      <c r="BB55" s="111" t="s">
        <v>356</v>
      </c>
      <c r="BC55" s="108"/>
      <c r="BD55" s="108"/>
      <c r="BE55" s="97"/>
      <c r="BF55" s="97"/>
      <c r="BG55" s="807" t="s">
        <v>357</v>
      </c>
      <c r="BH55" s="96"/>
      <c r="BI55" s="96"/>
      <c r="BJ55" s="96"/>
      <c r="BK55" s="110" t="s">
        <v>358</v>
      </c>
      <c r="BL55" s="97"/>
      <c r="BM55" s="96"/>
      <c r="BN55" s="96"/>
      <c r="BO55" s="96"/>
      <c r="BP55" s="96"/>
      <c r="BQ55" s="96"/>
      <c r="BR55" s="98"/>
      <c r="BS55" s="98"/>
      <c r="BT55" s="98"/>
      <c r="BU55" s="98"/>
      <c r="BV55" s="98"/>
      <c r="BW55" s="98"/>
      <c r="BX55" s="98"/>
      <c r="BY55" s="98"/>
      <c r="BZ55" s="98"/>
      <c r="CA55" s="98"/>
    </row>
    <row r="56" spans="1:79" ht="13.5" customHeight="1">
      <c r="A56" s="1480"/>
      <c r="B56" s="1481"/>
      <c r="C56" s="1481"/>
      <c r="D56" s="1481"/>
      <c r="E56" s="1481"/>
      <c r="F56" s="1481"/>
      <c r="G56" s="1481"/>
      <c r="H56" s="1481"/>
      <c r="I56" s="1481"/>
      <c r="J56" s="1481"/>
      <c r="K56" s="62"/>
      <c r="L56" s="70"/>
      <c r="M56" s="70"/>
      <c r="N56" s="70"/>
      <c r="O56" s="70"/>
      <c r="P56" s="70"/>
      <c r="Q56" s="70"/>
      <c r="R56" s="70"/>
      <c r="S56" s="70"/>
      <c r="T56" s="70"/>
      <c r="U56" s="70"/>
      <c r="V56" s="70"/>
      <c r="W56" s="70"/>
      <c r="X56" s="70"/>
      <c r="Y56" s="70"/>
      <c r="Z56" s="70"/>
      <c r="AA56" s="71"/>
      <c r="AB56" s="71"/>
      <c r="AC56" s="71"/>
      <c r="AD56" s="71"/>
      <c r="AE56" s="71"/>
      <c r="AF56" s="1485"/>
      <c r="AG56" s="1485"/>
      <c r="AH56" s="1485"/>
      <c r="AI56" s="1485"/>
      <c r="AJ56" s="1486"/>
      <c r="AK56" s="1486"/>
      <c r="AL56" s="1486"/>
      <c r="AM56" s="1486"/>
      <c r="AN56" s="1500"/>
      <c r="AO56" s="1500"/>
      <c r="BA56" s="96"/>
      <c r="BB56" s="109" t="s">
        <v>359</v>
      </c>
      <c r="BC56" s="108"/>
      <c r="BD56" s="108"/>
      <c r="BE56" s="97"/>
      <c r="BF56" s="97"/>
      <c r="BG56" s="808" t="s">
        <v>359</v>
      </c>
      <c r="BH56" s="96"/>
      <c r="BI56" s="96"/>
      <c r="BJ56" s="96"/>
      <c r="BK56" s="113"/>
      <c r="BL56" s="114">
        <v>1</v>
      </c>
      <c r="BM56" s="455">
        <v>0</v>
      </c>
      <c r="BN56" s="96"/>
      <c r="BO56" s="96"/>
      <c r="BP56" s="96"/>
      <c r="BQ56" s="96"/>
      <c r="BR56" s="98"/>
      <c r="BS56" s="98"/>
      <c r="BT56" s="98"/>
      <c r="BU56" s="98"/>
      <c r="BV56" s="98"/>
      <c r="BW56" s="98"/>
      <c r="BX56" s="98"/>
      <c r="BY56" s="98"/>
      <c r="BZ56" s="98"/>
      <c r="CA56" s="98"/>
    </row>
    <row r="57" spans="1:79" ht="13.5" customHeight="1">
      <c r="A57" s="63"/>
      <c r="B57" s="62"/>
      <c r="C57" s="62"/>
      <c r="D57" s="62"/>
      <c r="E57" s="62"/>
      <c r="F57" s="62"/>
      <c r="G57" s="62"/>
      <c r="H57" s="62"/>
      <c r="I57" s="62"/>
      <c r="J57" s="62"/>
      <c r="K57" s="62"/>
      <c r="L57" s="70"/>
      <c r="M57" s="70"/>
      <c r="N57" s="70"/>
      <c r="O57" s="70"/>
      <c r="P57" s="70"/>
      <c r="Q57" s="70"/>
      <c r="R57" s="70"/>
      <c r="S57" s="70"/>
      <c r="T57" s="70"/>
      <c r="U57" s="70"/>
      <c r="V57" s="70"/>
      <c r="W57" s="70"/>
      <c r="X57" s="70"/>
      <c r="Y57" s="70"/>
      <c r="Z57" s="70"/>
      <c r="AA57" s="72"/>
      <c r="AB57" s="70"/>
      <c r="AC57" s="70"/>
      <c r="AD57" s="70"/>
      <c r="AE57" s="70"/>
      <c r="AF57" s="7"/>
      <c r="AG57" s="7"/>
      <c r="AH57" s="7"/>
      <c r="AI57" s="7"/>
      <c r="AJ57" s="7"/>
      <c r="AK57" s="432"/>
      <c r="AL57" s="432"/>
      <c r="AM57" s="432"/>
      <c r="AN57" s="432"/>
      <c r="AO57" s="432"/>
      <c r="BA57" s="96"/>
      <c r="BB57" s="109" t="s">
        <v>360</v>
      </c>
      <c r="BC57" s="108"/>
      <c r="BD57" s="108"/>
      <c r="BE57" s="97"/>
      <c r="BF57" s="97"/>
      <c r="BG57" s="862" t="s">
        <v>2989</v>
      </c>
      <c r="BH57" s="96"/>
      <c r="BI57" s="96"/>
      <c r="BJ57" s="96"/>
      <c r="BK57" s="115" t="s">
        <v>409</v>
      </c>
      <c r="BL57" s="114">
        <f>BL56+1</f>
        <v>2</v>
      </c>
      <c r="BM57" s="96">
        <v>15</v>
      </c>
      <c r="BN57" s="96"/>
      <c r="BO57" s="96"/>
      <c r="BP57" s="96"/>
      <c r="BQ57" s="96"/>
      <c r="BR57" s="98"/>
      <c r="BS57" s="98"/>
      <c r="BT57" s="98"/>
      <c r="BU57" s="98"/>
      <c r="BV57" s="98"/>
      <c r="BW57" s="98"/>
      <c r="BX57" s="98"/>
      <c r="BY57" s="98"/>
      <c r="BZ57" s="98"/>
      <c r="CA57" s="98"/>
    </row>
    <row r="58" spans="1:79" ht="13.5" customHeight="1">
      <c r="A58" s="64"/>
      <c r="B58" s="62"/>
      <c r="C58" s="62"/>
      <c r="D58" s="62"/>
      <c r="E58" s="65"/>
      <c r="F58" s="62"/>
      <c r="G58" s="62"/>
      <c r="H58" s="62"/>
      <c r="I58" s="62"/>
      <c r="J58" s="62"/>
      <c r="K58" s="62"/>
      <c r="L58" s="70"/>
      <c r="M58" s="70"/>
      <c r="N58" s="70"/>
      <c r="O58" s="70"/>
      <c r="P58" s="70"/>
      <c r="Q58" s="70"/>
      <c r="R58" s="70"/>
      <c r="S58" s="70"/>
      <c r="T58" s="70"/>
      <c r="U58" s="70"/>
      <c r="V58" s="70"/>
      <c r="W58" s="70"/>
      <c r="X58" s="70"/>
      <c r="Y58" s="70"/>
      <c r="Z58" s="70"/>
      <c r="AA58" s="73"/>
      <c r="AB58" s="70"/>
      <c r="AC58" s="70"/>
      <c r="AD58" s="70"/>
      <c r="AE58" s="74"/>
      <c r="AF58" s="7"/>
      <c r="AG58" s="7"/>
      <c r="AH58" s="7"/>
      <c r="AI58" s="7"/>
      <c r="AJ58" s="7"/>
      <c r="BA58" s="96"/>
      <c r="BB58" s="109" t="s">
        <v>361</v>
      </c>
      <c r="BC58" s="108"/>
      <c r="BD58" s="108"/>
      <c r="BE58" s="97"/>
      <c r="BF58" s="97"/>
      <c r="BG58" s="806" t="s">
        <v>2874</v>
      </c>
      <c r="BI58" s="96"/>
      <c r="BJ58" s="96"/>
      <c r="BK58" s="115" t="s">
        <v>410</v>
      </c>
      <c r="BL58" s="114">
        <f t="shared" ref="BL58:BL86" si="9">BL57+1</f>
        <v>3</v>
      </c>
      <c r="BM58" s="96">
        <v>30</v>
      </c>
      <c r="BN58" s="96"/>
      <c r="BO58" s="96"/>
      <c r="BP58" s="96"/>
      <c r="BQ58" s="96"/>
      <c r="BR58" s="98"/>
      <c r="BS58" s="98"/>
      <c r="BT58" s="98"/>
      <c r="BU58" s="98"/>
      <c r="BV58" s="98"/>
      <c r="BW58" s="98"/>
      <c r="BX58" s="98"/>
      <c r="BY58" s="98"/>
      <c r="BZ58" s="98"/>
      <c r="CA58" s="98"/>
    </row>
    <row r="59" spans="1:79" ht="13.5" customHeight="1">
      <c r="A59" s="64"/>
      <c r="B59" s="62"/>
      <c r="C59" s="62"/>
      <c r="D59" s="62"/>
      <c r="E59" s="62"/>
      <c r="F59" s="62"/>
      <c r="G59" s="62"/>
      <c r="H59" s="62"/>
      <c r="I59" s="62" t="str">
        <f>$K$11</f>
        <v>!再度確認!</v>
      </c>
      <c r="J59" s="62"/>
      <c r="K59" s="62"/>
      <c r="L59" s="70"/>
      <c r="M59" s="70"/>
      <c r="N59" s="70"/>
      <c r="O59" s="70"/>
      <c r="P59" s="70"/>
      <c r="Q59" s="70"/>
      <c r="R59" s="70"/>
      <c r="S59" s="70"/>
      <c r="T59" s="70"/>
      <c r="U59" s="70"/>
      <c r="V59" s="70"/>
      <c r="W59" s="70"/>
      <c r="X59" s="70"/>
      <c r="Y59" s="70"/>
      <c r="Z59" s="70"/>
      <c r="AA59" s="73"/>
      <c r="AB59" s="70"/>
      <c r="AC59" s="70"/>
      <c r="AD59" s="70"/>
      <c r="AE59" s="70"/>
      <c r="AF59" s="7"/>
      <c r="AG59" s="7"/>
      <c r="AH59" s="7"/>
      <c r="AI59" s="7"/>
      <c r="AJ59" s="7"/>
      <c r="BA59" s="96"/>
      <c r="BB59" s="109"/>
      <c r="BC59" s="108"/>
      <c r="BD59" s="108"/>
      <c r="BE59" s="97"/>
      <c r="BF59" s="97"/>
      <c r="BG59" s="806" t="s">
        <v>2875</v>
      </c>
      <c r="BI59" s="96"/>
      <c r="BJ59" s="96"/>
      <c r="BK59" s="115" t="s">
        <v>411</v>
      </c>
      <c r="BL59" s="110">
        <f t="shared" si="9"/>
        <v>4</v>
      </c>
      <c r="BM59" s="96">
        <v>45</v>
      </c>
      <c r="BN59" s="96"/>
      <c r="BO59" s="96"/>
      <c r="BP59" s="96"/>
      <c r="BQ59" s="96"/>
      <c r="BR59" s="98"/>
      <c r="BS59" s="98"/>
      <c r="BT59" s="98"/>
      <c r="BU59" s="98"/>
      <c r="BV59" s="98"/>
      <c r="BW59" s="98"/>
      <c r="BX59" s="98"/>
      <c r="BY59" s="98"/>
      <c r="BZ59" s="98"/>
      <c r="CA59" s="98"/>
    </row>
    <row r="60" spans="1:79" ht="13.5" customHeight="1">
      <c r="A60" s="64"/>
      <c r="B60" s="62"/>
      <c r="C60" s="62"/>
      <c r="D60" s="62"/>
      <c r="E60" s="62"/>
      <c r="F60" s="62"/>
      <c r="G60" s="62"/>
      <c r="H60" s="62"/>
      <c r="I60" s="62"/>
      <c r="J60" s="62"/>
      <c r="K60" s="62"/>
      <c r="L60" s="70"/>
      <c r="M60" s="70"/>
      <c r="N60" s="70"/>
      <c r="O60" s="70"/>
      <c r="P60" s="70"/>
      <c r="Q60" s="70"/>
      <c r="R60" s="70"/>
      <c r="S60" s="70"/>
      <c r="T60" s="70"/>
      <c r="U60" s="70"/>
      <c r="V60" s="70"/>
      <c r="W60" s="70"/>
      <c r="X60" s="70"/>
      <c r="Y60" s="70"/>
      <c r="Z60" s="70"/>
      <c r="AA60" s="73"/>
      <c r="AB60" s="70"/>
      <c r="AC60" s="70"/>
      <c r="AD60" s="70"/>
      <c r="AE60" s="70"/>
      <c r="AF60" s="7"/>
      <c r="AG60" s="7"/>
      <c r="AH60" s="7"/>
      <c r="AI60" s="7"/>
      <c r="AJ60" s="7"/>
      <c r="BA60" s="96"/>
      <c r="BB60" s="111" t="s">
        <v>362</v>
      </c>
      <c r="BC60" s="108"/>
      <c r="BD60" s="108"/>
      <c r="BE60" s="97"/>
      <c r="BF60" s="97"/>
      <c r="BG60" s="806" t="s">
        <v>2876</v>
      </c>
      <c r="BI60" s="96"/>
      <c r="BJ60" s="96"/>
      <c r="BK60" s="97"/>
      <c r="BL60" s="110">
        <f t="shared" si="9"/>
        <v>5</v>
      </c>
      <c r="BM60" s="96"/>
      <c r="BN60" s="96"/>
      <c r="BO60" s="96"/>
      <c r="BP60" s="96"/>
      <c r="BQ60" s="96"/>
      <c r="BR60" s="98"/>
      <c r="BS60" s="98"/>
      <c r="BT60" s="98"/>
      <c r="BU60" s="98"/>
      <c r="BV60" s="98"/>
      <c r="BW60" s="98"/>
      <c r="BX60" s="98"/>
      <c r="BY60" s="98"/>
      <c r="BZ60" s="98"/>
      <c r="CA60" s="98"/>
    </row>
    <row r="61" spans="1:79" ht="13.5" customHeight="1">
      <c r="A61" s="73"/>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3"/>
      <c r="AB61" s="70"/>
      <c r="AC61" s="70"/>
      <c r="AD61" s="70"/>
      <c r="AE61" s="70"/>
      <c r="AF61" s="7"/>
      <c r="AG61" s="7"/>
      <c r="AH61" s="7"/>
      <c r="AI61" s="7"/>
      <c r="AJ61" s="7"/>
      <c r="BA61" s="96"/>
      <c r="BB61" s="109" t="s">
        <v>502</v>
      </c>
      <c r="BC61" s="108"/>
      <c r="BD61" s="108"/>
      <c r="BE61" s="97"/>
      <c r="BF61" s="97"/>
      <c r="BG61" s="806" t="s">
        <v>2871</v>
      </c>
      <c r="BI61" s="96"/>
      <c r="BJ61" s="96"/>
      <c r="BK61" s="97"/>
      <c r="BL61" s="110">
        <f t="shared" si="9"/>
        <v>6</v>
      </c>
      <c r="BM61" s="96"/>
      <c r="BN61" s="96"/>
      <c r="BO61" s="96"/>
      <c r="BP61" s="96"/>
      <c r="BQ61" s="96"/>
      <c r="BR61" s="98"/>
      <c r="BS61" s="98"/>
      <c r="BT61" s="98"/>
      <c r="BU61" s="98"/>
      <c r="BV61" s="98"/>
      <c r="BW61" s="98"/>
      <c r="BX61" s="98"/>
      <c r="BY61" s="98"/>
      <c r="BZ61" s="98"/>
      <c r="CA61" s="98"/>
    </row>
    <row r="62" spans="1:79" ht="13.5" customHeight="1">
      <c r="A62" s="73"/>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3"/>
      <c r="AB62" s="70"/>
      <c r="AC62" s="70"/>
      <c r="AD62" s="70"/>
      <c r="AE62" s="70"/>
      <c r="AF62" s="7"/>
      <c r="AG62" s="7"/>
      <c r="AH62" s="7"/>
      <c r="AI62" s="7"/>
      <c r="AJ62" s="7"/>
      <c r="BA62" s="96"/>
      <c r="BB62" s="109" t="s">
        <v>503</v>
      </c>
      <c r="BC62" s="108"/>
      <c r="BD62" s="108"/>
      <c r="BE62" s="97"/>
      <c r="BF62" s="97"/>
      <c r="BG62" s="806" t="s">
        <v>2872</v>
      </c>
      <c r="BI62" s="96"/>
      <c r="BJ62" s="96"/>
      <c r="BK62" s="97"/>
      <c r="BL62" s="110">
        <f t="shared" si="9"/>
        <v>7</v>
      </c>
      <c r="BM62" s="96"/>
      <c r="BN62" s="96"/>
      <c r="BO62" s="96"/>
      <c r="BP62" s="96"/>
      <c r="BQ62" s="96"/>
      <c r="BR62" s="98"/>
      <c r="BS62" s="98"/>
      <c r="BT62" s="98"/>
      <c r="BU62" s="98"/>
      <c r="BV62" s="98"/>
      <c r="BW62" s="98"/>
      <c r="BX62" s="98"/>
      <c r="BY62" s="98"/>
      <c r="BZ62" s="98"/>
      <c r="CA62" s="98"/>
    </row>
    <row r="63" spans="1:79" ht="13.5" customHeight="1">
      <c r="A63" s="73"/>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3"/>
      <c r="AB63" s="70"/>
      <c r="AC63" s="70"/>
      <c r="AD63" s="70"/>
      <c r="AE63" s="70"/>
      <c r="AF63" s="7"/>
      <c r="AG63" s="7"/>
      <c r="AH63" s="7"/>
      <c r="AI63" s="7"/>
      <c r="AJ63" s="7"/>
      <c r="BA63" s="96"/>
      <c r="BB63" s="109" t="s">
        <v>504</v>
      </c>
      <c r="BC63" s="108"/>
      <c r="BD63" s="108"/>
      <c r="BE63" s="97"/>
      <c r="BF63" s="97"/>
      <c r="BG63" s="806" t="s">
        <v>2873</v>
      </c>
      <c r="BI63" s="96"/>
      <c r="BJ63" s="96"/>
      <c r="BK63" s="97"/>
      <c r="BL63" s="110">
        <f t="shared" si="9"/>
        <v>8</v>
      </c>
      <c r="BM63" s="96"/>
      <c r="BN63" s="96"/>
      <c r="BO63" s="96"/>
      <c r="BP63" s="96"/>
      <c r="BQ63" s="96"/>
      <c r="BR63" s="98"/>
      <c r="BS63" s="98"/>
      <c r="BT63" s="98"/>
      <c r="BU63" s="98"/>
      <c r="BV63" s="98"/>
      <c r="BW63" s="98"/>
      <c r="BX63" s="98"/>
      <c r="BY63" s="98"/>
      <c r="BZ63" s="98"/>
      <c r="CA63" s="98"/>
    </row>
    <row r="64" spans="1:79" ht="13.5" customHeight="1" thickBot="1">
      <c r="A64" s="73"/>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3"/>
      <c r="AB64" s="70"/>
      <c r="AC64" s="70"/>
      <c r="AD64" s="70"/>
      <c r="AE64" s="70"/>
      <c r="AF64" s="7"/>
      <c r="AG64" s="7"/>
      <c r="AH64" s="7"/>
      <c r="AI64" s="7"/>
      <c r="AJ64" s="7"/>
      <c r="BA64" s="96"/>
      <c r="BB64" s="109" t="s">
        <v>505</v>
      </c>
      <c r="BC64" s="108"/>
      <c r="BD64" s="108"/>
      <c r="BE64" s="97"/>
      <c r="BF64" s="97"/>
      <c r="BG64" s="809"/>
      <c r="BI64" s="96"/>
      <c r="BJ64" s="96"/>
      <c r="BK64" s="97"/>
      <c r="BL64" s="110">
        <f t="shared" si="9"/>
        <v>9</v>
      </c>
      <c r="BM64" s="96"/>
      <c r="BN64" s="96"/>
      <c r="BO64" s="96"/>
      <c r="BP64" s="96"/>
      <c r="BQ64" s="96"/>
      <c r="BR64" s="98"/>
      <c r="BS64" s="98"/>
      <c r="BT64" s="98"/>
      <c r="BU64" s="98"/>
      <c r="BV64" s="98"/>
      <c r="BW64" s="98"/>
      <c r="BX64" s="98"/>
      <c r="BY64" s="98"/>
      <c r="BZ64" s="98"/>
      <c r="CA64" s="98"/>
    </row>
    <row r="65" spans="1:79" ht="13.5" customHeight="1" thickBot="1">
      <c r="A65" s="73"/>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3"/>
      <c r="AB65" s="70"/>
      <c r="AC65" s="70"/>
      <c r="AD65" s="70"/>
      <c r="AE65" s="70"/>
      <c r="AF65" s="7"/>
      <c r="AG65" s="7"/>
      <c r="AH65" s="7"/>
      <c r="AI65" s="7"/>
      <c r="AJ65" s="7"/>
      <c r="BA65" s="96"/>
      <c r="BB65" s="116"/>
      <c r="BC65" s="108"/>
      <c r="BD65" s="108"/>
      <c r="BE65" s="97"/>
      <c r="BF65" s="97"/>
      <c r="BG65" s="810"/>
      <c r="BH65" s="96"/>
      <c r="BI65" s="96"/>
      <c r="BJ65" s="96"/>
      <c r="BK65" s="97"/>
      <c r="BL65" s="110">
        <f t="shared" si="9"/>
        <v>10</v>
      </c>
      <c r="BM65" s="96"/>
      <c r="BN65" s="96"/>
      <c r="BO65" s="96"/>
      <c r="BP65" s="96"/>
      <c r="BQ65" s="96"/>
      <c r="BR65" s="98"/>
      <c r="BS65" s="98"/>
      <c r="BT65" s="98"/>
      <c r="BU65" s="98"/>
      <c r="BV65" s="98"/>
      <c r="BW65" s="98"/>
      <c r="BX65" s="98"/>
      <c r="BY65" s="98"/>
      <c r="BZ65" s="98"/>
      <c r="CA65" s="98"/>
    </row>
    <row r="66" spans="1:79" ht="13.5" customHeight="1" thickBot="1">
      <c r="A66" s="73"/>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3"/>
      <c r="AB66" s="70"/>
      <c r="AC66" s="70"/>
      <c r="AD66" s="70"/>
      <c r="AE66" s="70"/>
      <c r="AF66" s="7"/>
      <c r="AG66" s="7"/>
      <c r="AH66" s="7"/>
      <c r="AI66" s="7"/>
      <c r="AJ66" s="7"/>
      <c r="BA66" s="96"/>
      <c r="BB66" s="111" t="s">
        <v>363</v>
      </c>
      <c r="BC66" s="108"/>
      <c r="BD66" s="108"/>
      <c r="BE66" s="97"/>
      <c r="BF66" s="97"/>
      <c r="BG66" s="807" t="s">
        <v>492</v>
      </c>
      <c r="BH66" s="96"/>
      <c r="BI66" s="96"/>
      <c r="BJ66" s="96"/>
      <c r="BK66" s="97"/>
      <c r="BL66" s="110">
        <f t="shared" si="9"/>
        <v>11</v>
      </c>
      <c r="BM66" s="96"/>
      <c r="BN66" s="96"/>
      <c r="BO66" s="96"/>
      <c r="BP66" s="96"/>
      <c r="BQ66" s="96"/>
      <c r="BR66" s="98"/>
      <c r="BS66" s="98"/>
      <c r="BT66" s="98"/>
      <c r="BU66" s="98"/>
      <c r="BV66" s="98"/>
      <c r="BW66" s="98"/>
      <c r="BX66" s="98"/>
      <c r="BY66" s="98"/>
      <c r="BZ66" s="98"/>
      <c r="CA66" s="98"/>
    </row>
    <row r="67" spans="1:79" ht="13.5" customHeight="1">
      <c r="A67" s="73"/>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3"/>
      <c r="AB67" s="70"/>
      <c r="AC67" s="70"/>
      <c r="AD67" s="70"/>
      <c r="AE67" s="70"/>
      <c r="AF67" s="7"/>
      <c r="AG67" s="7"/>
      <c r="AH67" s="7"/>
      <c r="AI67" s="7"/>
      <c r="AJ67" s="7"/>
      <c r="BA67" s="96"/>
      <c r="BB67" s="109" t="s">
        <v>364</v>
      </c>
      <c r="BC67" s="96"/>
      <c r="BD67" s="96"/>
      <c r="BE67" s="96"/>
      <c r="BF67" s="96"/>
      <c r="BG67" s="808" t="s">
        <v>2870</v>
      </c>
      <c r="BH67" s="96"/>
      <c r="BI67" s="96"/>
      <c r="BJ67" s="96"/>
      <c r="BK67" s="97"/>
      <c r="BL67" s="110">
        <f t="shared" si="9"/>
        <v>12</v>
      </c>
      <c r="BM67" s="96"/>
      <c r="BN67" s="96"/>
      <c r="BO67" s="96"/>
      <c r="BP67" s="96"/>
      <c r="BQ67" s="96"/>
      <c r="BR67" s="98"/>
      <c r="BS67" s="98"/>
      <c r="BT67" s="98"/>
      <c r="BU67" s="98"/>
      <c r="BV67" s="98"/>
      <c r="BW67" s="98"/>
      <c r="BX67" s="98"/>
      <c r="BY67" s="98"/>
      <c r="BZ67" s="98"/>
      <c r="CA67" s="98"/>
    </row>
    <row r="68" spans="1:79" ht="13.5" customHeight="1">
      <c r="A68" s="73"/>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3"/>
      <c r="AB68" s="70"/>
      <c r="AC68" s="70"/>
      <c r="AD68" s="70"/>
      <c r="AE68" s="70"/>
      <c r="AF68" s="7"/>
      <c r="AG68" s="7"/>
      <c r="AH68" s="7"/>
      <c r="AI68" s="7"/>
      <c r="AJ68" s="7"/>
      <c r="BA68" s="96"/>
      <c r="BB68" s="109" t="s">
        <v>366</v>
      </c>
      <c r="BC68" s="96"/>
      <c r="BD68" s="96"/>
      <c r="BE68" s="96"/>
      <c r="BF68" s="96"/>
      <c r="BG68" s="806" t="s">
        <v>2874</v>
      </c>
      <c r="BH68" s="96"/>
      <c r="BI68" s="96"/>
      <c r="BJ68" s="96"/>
      <c r="BK68" s="97"/>
      <c r="BL68" s="110">
        <f t="shared" si="9"/>
        <v>13</v>
      </c>
      <c r="BM68" s="96"/>
      <c r="BN68" s="96"/>
      <c r="BO68" s="96"/>
      <c r="BP68" s="96"/>
      <c r="BQ68" s="96"/>
      <c r="BR68" s="98"/>
      <c r="BS68" s="98"/>
      <c r="BT68" s="98"/>
      <c r="BU68" s="98"/>
      <c r="BV68" s="98"/>
      <c r="BW68" s="98"/>
      <c r="BX68" s="98"/>
      <c r="BY68" s="98"/>
      <c r="BZ68" s="98"/>
      <c r="CA68" s="98"/>
    </row>
    <row r="69" spans="1:79" ht="13.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
      <c r="AG69" s="7"/>
      <c r="AH69" s="7"/>
      <c r="AI69" s="7"/>
      <c r="AJ69" s="7"/>
      <c r="BA69" s="96"/>
      <c r="BB69" s="109" t="s">
        <v>368</v>
      </c>
      <c r="BC69" s="96"/>
      <c r="BD69" s="96"/>
      <c r="BE69" s="96"/>
      <c r="BF69" s="96"/>
      <c r="BG69" s="806" t="s">
        <v>2875</v>
      </c>
      <c r="BH69" s="96"/>
      <c r="BI69" s="96"/>
      <c r="BJ69" s="96"/>
      <c r="BK69" s="97"/>
      <c r="BL69" s="110">
        <f t="shared" si="9"/>
        <v>14</v>
      </c>
      <c r="BM69" s="96"/>
      <c r="BN69" s="96"/>
      <c r="BO69" s="96"/>
      <c r="BP69" s="96"/>
      <c r="BQ69" s="96"/>
      <c r="BR69" s="98"/>
      <c r="BS69" s="98"/>
      <c r="BT69" s="98"/>
      <c r="BU69" s="98"/>
      <c r="BV69" s="98"/>
      <c r="BW69" s="98"/>
      <c r="BX69" s="98"/>
      <c r="BY69" s="98"/>
      <c r="BZ69" s="98"/>
      <c r="CA69" s="98"/>
    </row>
    <row r="70" spans="1:79" ht="13.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
      <c r="AG70" s="7"/>
      <c r="AH70" s="7"/>
      <c r="AI70" s="7"/>
      <c r="AJ70" s="7"/>
      <c r="BA70" s="96"/>
      <c r="BB70" s="109" t="s">
        <v>370</v>
      </c>
      <c r="BC70" s="96"/>
      <c r="BD70" s="96"/>
      <c r="BE70" s="96"/>
      <c r="BF70" s="96"/>
      <c r="BG70" s="806" t="s">
        <v>2876</v>
      </c>
      <c r="BH70" s="96"/>
      <c r="BI70" s="96"/>
      <c r="BJ70" s="96"/>
      <c r="BK70" s="97"/>
      <c r="BL70" s="110">
        <f t="shared" si="9"/>
        <v>15</v>
      </c>
      <c r="BM70" s="96"/>
      <c r="BN70" s="96"/>
      <c r="BO70" s="96"/>
      <c r="BP70" s="96"/>
      <c r="BQ70" s="96"/>
      <c r="BR70" s="98"/>
      <c r="BS70" s="98"/>
      <c r="BT70" s="98"/>
      <c r="BU70" s="98"/>
      <c r="BV70" s="98"/>
      <c r="BW70" s="98"/>
      <c r="BX70" s="98"/>
      <c r="BY70" s="98"/>
      <c r="BZ70" s="98"/>
      <c r="CA70" s="98"/>
    </row>
    <row r="71" spans="1:79" ht="13.5" customHeight="1">
      <c r="AF71" s="7"/>
      <c r="AG71" s="7"/>
      <c r="AH71" s="7"/>
      <c r="AI71" s="7"/>
      <c r="AJ71" s="7"/>
      <c r="BA71" s="96"/>
      <c r="BB71" s="109" t="s">
        <v>372</v>
      </c>
      <c r="BC71" s="96"/>
      <c r="BD71" s="96"/>
      <c r="BE71" s="96"/>
      <c r="BF71" s="96"/>
      <c r="BG71" s="806" t="s">
        <v>2871</v>
      </c>
      <c r="BH71" s="96"/>
      <c r="BI71" s="96"/>
      <c r="BJ71" s="96"/>
      <c r="BK71" s="97"/>
      <c r="BL71" s="110">
        <f t="shared" si="9"/>
        <v>16</v>
      </c>
      <c r="BM71" s="96"/>
      <c r="BN71" s="96"/>
      <c r="BO71" s="96"/>
      <c r="BP71" s="96"/>
      <c r="BQ71" s="96"/>
      <c r="BR71" s="98"/>
      <c r="BS71" s="98"/>
      <c r="BT71" s="98"/>
      <c r="BU71" s="98"/>
      <c r="BV71" s="98"/>
      <c r="BW71" s="98"/>
      <c r="BX71" s="98"/>
      <c r="BY71" s="98"/>
      <c r="BZ71" s="98"/>
      <c r="CA71" s="98"/>
    </row>
    <row r="72" spans="1:79" ht="13.5" customHeight="1">
      <c r="AF72" s="7"/>
      <c r="AG72" s="7"/>
      <c r="AH72" s="7"/>
      <c r="AI72" s="7"/>
      <c r="AJ72" s="7"/>
      <c r="BA72" s="96"/>
      <c r="BB72" s="109" t="s">
        <v>374</v>
      </c>
      <c r="BC72" s="96"/>
      <c r="BD72" s="96"/>
      <c r="BE72" s="96"/>
      <c r="BF72" s="96"/>
      <c r="BG72" s="806" t="s">
        <v>2872</v>
      </c>
      <c r="BH72" s="96"/>
      <c r="BI72" s="96"/>
      <c r="BJ72" s="96"/>
      <c r="BK72" s="97"/>
      <c r="BL72" s="110">
        <f t="shared" si="9"/>
        <v>17</v>
      </c>
      <c r="BM72" s="96"/>
      <c r="BN72" s="96"/>
      <c r="BO72" s="96"/>
      <c r="BP72" s="96"/>
      <c r="BQ72" s="96"/>
      <c r="BR72" s="98"/>
      <c r="BS72" s="98"/>
      <c r="BT72" s="98"/>
      <c r="BU72" s="98"/>
      <c r="BV72" s="98"/>
      <c r="BW72" s="98"/>
      <c r="BX72" s="98"/>
      <c r="BY72" s="98"/>
      <c r="BZ72" s="98"/>
      <c r="CA72" s="98"/>
    </row>
    <row r="73" spans="1:79" ht="13.5" customHeight="1">
      <c r="AF73" s="7"/>
      <c r="AG73" s="7"/>
      <c r="AH73" s="7"/>
      <c r="AI73" s="7"/>
      <c r="AJ73" s="7"/>
      <c r="BA73" s="96"/>
      <c r="BB73" s="109" t="s">
        <v>375</v>
      </c>
      <c r="BC73" s="96"/>
      <c r="BD73" s="96"/>
      <c r="BE73" s="96"/>
      <c r="BF73" s="96"/>
      <c r="BG73" s="806" t="s">
        <v>2873</v>
      </c>
      <c r="BH73" s="96"/>
      <c r="BI73" s="96"/>
      <c r="BJ73" s="96"/>
      <c r="BK73" s="97"/>
      <c r="BL73" s="110">
        <f t="shared" si="9"/>
        <v>18</v>
      </c>
      <c r="BM73" s="96"/>
      <c r="BN73" s="96"/>
      <c r="BO73" s="96"/>
      <c r="BP73" s="96"/>
      <c r="BQ73" s="96"/>
      <c r="BR73" s="98"/>
      <c r="BS73" s="98"/>
      <c r="BT73" s="98"/>
      <c r="BU73" s="98"/>
      <c r="BV73" s="98"/>
      <c r="BW73" s="98"/>
      <c r="BX73" s="98"/>
      <c r="BY73" s="98"/>
      <c r="BZ73" s="98"/>
      <c r="CA73" s="98"/>
    </row>
    <row r="74" spans="1:79" ht="13.5" customHeight="1">
      <c r="AF74" s="7"/>
      <c r="AG74" s="7"/>
      <c r="AH74" s="7"/>
      <c r="AI74" s="7"/>
      <c r="AJ74" s="7"/>
      <c r="BA74" s="96"/>
      <c r="BB74" s="109" t="s">
        <v>377</v>
      </c>
      <c r="BC74" s="96"/>
      <c r="BD74" s="96"/>
      <c r="BE74" s="96"/>
      <c r="BF74" s="96"/>
      <c r="BG74" s="805"/>
      <c r="BH74" s="96"/>
      <c r="BI74" s="96"/>
      <c r="BJ74" s="96"/>
      <c r="BK74" s="97"/>
      <c r="BL74" s="110">
        <f t="shared" si="9"/>
        <v>19</v>
      </c>
      <c r="BM74" s="96"/>
      <c r="BN74" s="96"/>
      <c r="BO74" s="96"/>
      <c r="BP74" s="96"/>
      <c r="BQ74" s="96"/>
      <c r="BR74" s="98"/>
      <c r="BS74" s="98"/>
      <c r="BT74" s="98"/>
      <c r="BU74" s="98"/>
      <c r="BV74" s="98"/>
      <c r="BW74" s="98"/>
      <c r="BX74" s="98"/>
      <c r="BY74" s="98"/>
      <c r="BZ74" s="98"/>
      <c r="CA74" s="98"/>
    </row>
    <row r="75" spans="1:79" ht="13.5" customHeight="1">
      <c r="AF75" s="7"/>
      <c r="AG75" s="7"/>
      <c r="AH75" s="7"/>
      <c r="AI75" s="7"/>
      <c r="AJ75" s="7"/>
      <c r="BA75" s="96"/>
      <c r="BB75" s="109" t="s">
        <v>379</v>
      </c>
      <c r="BC75" s="96"/>
      <c r="BD75" s="96"/>
      <c r="BE75" s="96"/>
      <c r="BF75" s="96"/>
      <c r="BG75" s="811"/>
      <c r="BH75" s="96"/>
      <c r="BI75" s="96"/>
      <c r="BJ75" s="96"/>
      <c r="BK75" s="97"/>
      <c r="BL75" s="110">
        <f t="shared" si="9"/>
        <v>20</v>
      </c>
      <c r="BM75" s="96"/>
      <c r="BN75" s="96"/>
      <c r="BO75" s="96"/>
      <c r="BP75" s="96"/>
      <c r="BQ75" s="96"/>
      <c r="BR75" s="98"/>
      <c r="BS75" s="98"/>
      <c r="BT75" s="98"/>
      <c r="BU75" s="98"/>
      <c r="BV75" s="98"/>
      <c r="BW75" s="98"/>
      <c r="BX75" s="98"/>
      <c r="BY75" s="98"/>
      <c r="BZ75" s="98"/>
      <c r="CA75" s="98"/>
    </row>
    <row r="76" spans="1:79" ht="13.5" customHeight="1">
      <c r="AF76" s="7"/>
      <c r="AG76" s="7"/>
      <c r="AH76" s="7"/>
      <c r="AI76" s="7"/>
      <c r="AJ76" s="7"/>
      <c r="BA76" s="96"/>
      <c r="BB76" s="109" t="s">
        <v>381</v>
      </c>
      <c r="BC76" s="96"/>
      <c r="BD76" s="96"/>
      <c r="BE76" s="96"/>
      <c r="BF76" s="96"/>
      <c r="BG76" s="413"/>
      <c r="BH76" s="96"/>
      <c r="BI76" s="96"/>
      <c r="BJ76" s="96"/>
      <c r="BK76" s="97"/>
      <c r="BL76" s="110">
        <f t="shared" si="9"/>
        <v>21</v>
      </c>
      <c r="BM76" s="96"/>
      <c r="BN76" s="96"/>
      <c r="BO76" s="96"/>
      <c r="BP76" s="96"/>
      <c r="BQ76" s="96"/>
      <c r="BR76" s="98"/>
      <c r="BS76" s="98"/>
      <c r="BT76" s="98"/>
      <c r="BU76" s="98"/>
      <c r="BV76" s="98"/>
      <c r="BW76" s="98"/>
      <c r="BX76" s="98"/>
      <c r="BY76" s="98"/>
      <c r="BZ76" s="98"/>
      <c r="CA76" s="98"/>
    </row>
    <row r="77" spans="1:79" ht="13.5" customHeight="1">
      <c r="AF77" s="7"/>
      <c r="AG77" s="7"/>
      <c r="AH77" s="7"/>
      <c r="AI77" s="7"/>
      <c r="AJ77" s="7"/>
      <c r="BA77" s="96"/>
      <c r="BB77" s="109" t="s">
        <v>382</v>
      </c>
      <c r="BC77" s="96"/>
      <c r="BD77" s="96"/>
      <c r="BE77" s="96"/>
      <c r="BF77" s="96"/>
      <c r="BG77" s="413"/>
      <c r="BH77" s="96"/>
      <c r="BI77" s="96"/>
      <c r="BJ77" s="96"/>
      <c r="BK77" s="97"/>
      <c r="BL77" s="110">
        <f t="shared" si="9"/>
        <v>22</v>
      </c>
      <c r="BM77" s="96"/>
      <c r="BN77" s="96"/>
      <c r="BO77" s="96"/>
      <c r="BP77" s="96"/>
      <c r="BQ77" s="96"/>
      <c r="BR77" s="98"/>
      <c r="BS77" s="98"/>
      <c r="BT77" s="98"/>
      <c r="BU77" s="98"/>
      <c r="BV77" s="98"/>
      <c r="BW77" s="98"/>
      <c r="BX77" s="98"/>
      <c r="BY77" s="98"/>
      <c r="BZ77" s="98"/>
      <c r="CA77" s="98"/>
    </row>
    <row r="78" spans="1:79" ht="13.5" customHeight="1">
      <c r="AF78" s="7"/>
      <c r="AG78" s="7"/>
      <c r="AH78" s="7"/>
      <c r="AI78" s="7"/>
      <c r="AJ78" s="7"/>
      <c r="BA78" s="96"/>
      <c r="BB78" s="109" t="s">
        <v>383</v>
      </c>
      <c r="BC78" s="96"/>
      <c r="BD78" s="96"/>
      <c r="BE78" s="96"/>
      <c r="BF78" s="96"/>
      <c r="BG78" s="413"/>
      <c r="BH78" s="96"/>
      <c r="BI78" s="96"/>
      <c r="BJ78" s="96"/>
      <c r="BK78" s="97"/>
      <c r="BL78" s="110">
        <f t="shared" si="9"/>
        <v>23</v>
      </c>
      <c r="BM78" s="96"/>
      <c r="BN78" s="96"/>
      <c r="BO78" s="96"/>
      <c r="BP78" s="96"/>
      <c r="BQ78" s="96"/>
      <c r="BR78" s="98"/>
      <c r="BS78" s="98"/>
      <c r="BT78" s="98"/>
      <c r="BU78" s="98"/>
      <c r="BV78" s="98"/>
      <c r="BW78" s="98"/>
      <c r="BX78" s="98"/>
      <c r="BY78" s="98"/>
      <c r="BZ78" s="98"/>
      <c r="CA78" s="98"/>
    </row>
    <row r="79" spans="1:79" ht="13.5" customHeight="1">
      <c r="AF79" s="7"/>
      <c r="AG79" s="7"/>
      <c r="AH79" s="7"/>
      <c r="AI79" s="7"/>
      <c r="AJ79" s="7"/>
      <c r="BA79" s="96"/>
      <c r="BB79" s="109" t="s">
        <v>384</v>
      </c>
      <c r="BC79" s="96"/>
      <c r="BD79" s="96"/>
      <c r="BE79" s="96"/>
      <c r="BF79" s="96"/>
      <c r="BG79" s="413"/>
      <c r="BH79" s="96"/>
      <c r="BI79" s="96"/>
      <c r="BJ79" s="96"/>
      <c r="BK79" s="97"/>
      <c r="BL79" s="110">
        <f>BL78+1</f>
        <v>24</v>
      </c>
      <c r="BM79" s="96"/>
      <c r="BN79" s="96"/>
      <c r="BO79" s="96"/>
      <c r="BP79" s="96"/>
      <c r="BQ79" s="96"/>
      <c r="BR79" s="98"/>
      <c r="BS79" s="98"/>
      <c r="BT79" s="98"/>
      <c r="BU79" s="98"/>
      <c r="BV79" s="98"/>
      <c r="BW79" s="98"/>
      <c r="BX79" s="98"/>
      <c r="BY79" s="98"/>
      <c r="BZ79" s="98"/>
      <c r="CA79" s="98"/>
    </row>
    <row r="80" spans="1:79" ht="13.5" customHeight="1">
      <c r="AF80" s="7"/>
      <c r="AG80" s="7"/>
      <c r="AH80" s="7"/>
      <c r="AI80" s="7"/>
      <c r="AJ80" s="7"/>
      <c r="BA80" s="96"/>
      <c r="BB80" s="111" t="s">
        <v>385</v>
      </c>
      <c r="BC80" s="96"/>
      <c r="BD80" s="96"/>
      <c r="BE80" s="96"/>
      <c r="BF80" s="96"/>
      <c r="BG80" s="413"/>
      <c r="BH80" s="96"/>
      <c r="BI80" s="96"/>
      <c r="BJ80" s="96"/>
      <c r="BK80" s="97"/>
      <c r="BL80" s="110">
        <f t="shared" si="9"/>
        <v>25</v>
      </c>
      <c r="BM80" s="96"/>
      <c r="BN80" s="96"/>
      <c r="BO80" s="96"/>
      <c r="BP80" s="96"/>
      <c r="BQ80" s="96"/>
      <c r="BR80" s="98"/>
      <c r="BS80" s="98"/>
      <c r="BT80" s="98"/>
      <c r="BU80" s="98"/>
      <c r="BV80" s="98"/>
      <c r="BW80" s="98"/>
      <c r="BX80" s="98"/>
      <c r="BY80" s="98"/>
      <c r="BZ80" s="98"/>
      <c r="CA80" s="98"/>
    </row>
    <row r="81" spans="32:79" ht="13.5" customHeight="1">
      <c r="AF81" s="7"/>
      <c r="AG81" s="7"/>
      <c r="AH81" s="7"/>
      <c r="AI81" s="7"/>
      <c r="AJ81" s="7"/>
      <c r="BA81" s="96"/>
      <c r="BB81" s="109" t="s">
        <v>386</v>
      </c>
      <c r="BC81" s="96"/>
      <c r="BD81" s="96"/>
      <c r="BE81" s="96"/>
      <c r="BF81" s="96"/>
      <c r="BG81" s="112"/>
      <c r="BH81" s="96"/>
      <c r="BI81" s="96"/>
      <c r="BJ81" s="96"/>
      <c r="BK81" s="97"/>
      <c r="BL81" s="110">
        <f t="shared" si="9"/>
        <v>26</v>
      </c>
      <c r="BM81" s="96"/>
      <c r="BN81" s="96"/>
      <c r="BO81" s="96"/>
      <c r="BP81" s="96"/>
      <c r="BQ81" s="96"/>
      <c r="BR81" s="98"/>
      <c r="BS81" s="98"/>
      <c r="BT81" s="98"/>
      <c r="BU81" s="98"/>
      <c r="BV81" s="98"/>
      <c r="BW81" s="98"/>
      <c r="BX81" s="98"/>
      <c r="BY81" s="98"/>
      <c r="BZ81" s="98"/>
      <c r="CA81" s="98"/>
    </row>
    <row r="82" spans="32:79" ht="13.5" customHeight="1">
      <c r="AF82" s="7"/>
      <c r="AG82" s="7"/>
      <c r="AH82" s="7"/>
      <c r="AI82" s="7"/>
      <c r="AJ82" s="7"/>
      <c r="BA82" s="96"/>
      <c r="BB82" s="109" t="s">
        <v>387</v>
      </c>
      <c r="BC82" s="96"/>
      <c r="BD82" s="96"/>
      <c r="BE82" s="96"/>
      <c r="BF82" s="96"/>
      <c r="BG82" s="112"/>
      <c r="BH82" s="96"/>
      <c r="BI82" s="96"/>
      <c r="BJ82" s="96"/>
      <c r="BK82" s="97"/>
      <c r="BL82" s="110">
        <f t="shared" si="9"/>
        <v>27</v>
      </c>
      <c r="BM82" s="96"/>
      <c r="BN82" s="96"/>
      <c r="BO82" s="96"/>
      <c r="BP82" s="96"/>
      <c r="BQ82" s="96"/>
      <c r="BR82" s="98"/>
      <c r="BS82" s="98"/>
      <c r="BT82" s="98"/>
      <c r="BU82" s="98"/>
      <c r="BV82" s="98"/>
      <c r="BW82" s="98"/>
      <c r="BX82" s="98"/>
      <c r="BY82" s="98"/>
      <c r="BZ82" s="98"/>
      <c r="CA82" s="98"/>
    </row>
    <row r="83" spans="32:79" ht="13.5" customHeight="1" thickBot="1">
      <c r="AF83" s="7"/>
      <c r="AG83" s="7"/>
      <c r="AH83" s="7"/>
      <c r="AI83" s="7"/>
      <c r="AJ83" s="7"/>
      <c r="BA83" s="96"/>
      <c r="BB83" s="116"/>
      <c r="BC83" s="96"/>
      <c r="BD83" s="96"/>
      <c r="BE83" s="96"/>
      <c r="BF83" s="96"/>
      <c r="BG83" s="117"/>
      <c r="BH83" s="96"/>
      <c r="BI83" s="96"/>
      <c r="BJ83" s="96"/>
      <c r="BK83" s="97"/>
      <c r="BL83" s="110">
        <f t="shared" si="9"/>
        <v>28</v>
      </c>
      <c r="BM83" s="96"/>
      <c r="BN83" s="96"/>
      <c r="BO83" s="96"/>
      <c r="BP83" s="96"/>
      <c r="BQ83" s="96"/>
      <c r="BR83" s="98"/>
      <c r="BS83" s="98"/>
      <c r="BT83" s="98"/>
      <c r="BU83" s="98"/>
      <c r="BV83" s="98"/>
      <c r="BW83" s="98"/>
      <c r="BX83" s="98"/>
      <c r="BY83" s="98"/>
      <c r="BZ83" s="98"/>
      <c r="CA83" s="98"/>
    </row>
    <row r="84" spans="32:79" ht="13.5" customHeight="1">
      <c r="AF84" s="7"/>
      <c r="AG84" s="7"/>
      <c r="AH84" s="7"/>
      <c r="AI84" s="7"/>
      <c r="AJ84" s="7"/>
      <c r="BA84" s="96"/>
      <c r="BB84" s="111" t="s">
        <v>390</v>
      </c>
      <c r="BC84" s="96"/>
      <c r="BD84" s="96"/>
      <c r="BE84" s="96"/>
      <c r="BF84" s="96"/>
      <c r="BG84" s="118"/>
      <c r="BH84" s="96"/>
      <c r="BI84" s="96"/>
      <c r="BJ84" s="96"/>
      <c r="BK84" s="97"/>
      <c r="BL84" s="110">
        <f t="shared" si="9"/>
        <v>29</v>
      </c>
      <c r="BM84" s="96"/>
      <c r="BN84" s="96"/>
      <c r="BO84" s="96"/>
      <c r="BP84" s="96"/>
      <c r="BQ84" s="96"/>
      <c r="BR84" s="98"/>
      <c r="BS84" s="98"/>
      <c r="BT84" s="98"/>
      <c r="BU84" s="98"/>
      <c r="BV84" s="98"/>
      <c r="BW84" s="98"/>
      <c r="BX84" s="98"/>
      <c r="BY84" s="98"/>
      <c r="BZ84" s="98"/>
      <c r="CA84" s="98"/>
    </row>
    <row r="85" spans="32:79" ht="13.5" customHeight="1">
      <c r="AF85" s="7"/>
      <c r="AG85" s="7"/>
      <c r="AH85" s="7"/>
      <c r="AI85" s="7"/>
      <c r="AJ85" s="7"/>
      <c r="BA85" s="96"/>
      <c r="BB85" s="109" t="s">
        <v>392</v>
      </c>
      <c r="BC85" s="96"/>
      <c r="BD85" s="96"/>
      <c r="BE85" s="96"/>
      <c r="BF85" s="96"/>
      <c r="BG85" s="99"/>
      <c r="BH85" s="96"/>
      <c r="BI85" s="96"/>
      <c r="BJ85" s="96"/>
      <c r="BK85" s="97"/>
      <c r="BL85" s="110">
        <f t="shared" si="9"/>
        <v>30</v>
      </c>
      <c r="BM85" s="96"/>
      <c r="BN85" s="96"/>
      <c r="BO85" s="96"/>
      <c r="BP85" s="96"/>
      <c r="BQ85" s="96"/>
      <c r="BR85" s="98"/>
      <c r="BS85" s="98"/>
      <c r="BT85" s="98"/>
      <c r="BU85" s="98"/>
      <c r="BV85" s="98"/>
      <c r="BW85" s="98"/>
      <c r="BX85" s="98"/>
      <c r="BY85" s="98"/>
      <c r="BZ85" s="98"/>
      <c r="CA85" s="98"/>
    </row>
    <row r="86" spans="32:79" ht="13.5" customHeight="1">
      <c r="AF86" s="7"/>
      <c r="AG86" s="7"/>
      <c r="AH86" s="7"/>
      <c r="AI86" s="7"/>
      <c r="AJ86" s="7"/>
      <c r="BA86" s="96"/>
      <c r="BB86" s="109" t="s">
        <v>394</v>
      </c>
      <c r="BC86" s="96"/>
      <c r="BD86" s="96"/>
      <c r="BE86" s="96"/>
      <c r="BF86" s="96"/>
      <c r="BG86" s="107"/>
      <c r="BH86" s="96"/>
      <c r="BI86" s="96"/>
      <c r="BJ86" s="96"/>
      <c r="BK86" s="97"/>
      <c r="BL86" s="110">
        <f t="shared" si="9"/>
        <v>31</v>
      </c>
      <c r="BM86" s="96"/>
      <c r="BN86" s="96"/>
      <c r="BO86" s="96"/>
      <c r="BP86" s="96"/>
      <c r="BQ86" s="96"/>
      <c r="BR86" s="98"/>
      <c r="BS86" s="98"/>
      <c r="BT86" s="98"/>
      <c r="BU86" s="98"/>
      <c r="BV86" s="98"/>
      <c r="BW86" s="98"/>
      <c r="BX86" s="98"/>
      <c r="BY86" s="98"/>
      <c r="BZ86" s="98"/>
      <c r="CA86" s="98"/>
    </row>
    <row r="87" spans="32:79" ht="13.5" customHeight="1" thickBot="1">
      <c r="AF87" s="7"/>
      <c r="AG87" s="7"/>
      <c r="AH87" s="7"/>
      <c r="AI87" s="7"/>
      <c r="AJ87" s="7"/>
      <c r="BA87" s="96"/>
      <c r="BB87" s="109" t="s">
        <v>396</v>
      </c>
      <c r="BC87" s="96"/>
      <c r="BD87" s="96"/>
      <c r="BE87" s="96"/>
      <c r="BF87" s="96"/>
      <c r="BH87" s="96"/>
      <c r="BI87" s="96"/>
      <c r="BJ87" s="96"/>
      <c r="BK87" s="96"/>
      <c r="BL87" s="96"/>
      <c r="BM87" s="96"/>
      <c r="BN87" s="96"/>
      <c r="BO87" s="96"/>
      <c r="BP87" s="96"/>
      <c r="BQ87" s="96"/>
      <c r="BR87" s="98"/>
      <c r="BS87" s="98"/>
      <c r="BT87" s="98"/>
      <c r="BU87" s="98"/>
      <c r="BV87" s="98"/>
      <c r="BW87" s="98"/>
      <c r="BX87" s="98"/>
      <c r="BY87" s="98"/>
      <c r="BZ87" s="98"/>
      <c r="CA87" s="98"/>
    </row>
    <row r="88" spans="32:79" ht="13.5" customHeight="1" thickBot="1">
      <c r="AF88" s="7"/>
      <c r="AG88" s="7"/>
      <c r="AH88" s="7"/>
      <c r="AI88" s="7"/>
      <c r="AJ88" s="7"/>
      <c r="BA88" s="96"/>
      <c r="BB88" s="109" t="s">
        <v>398</v>
      </c>
      <c r="BC88" s="96"/>
      <c r="BD88" s="96"/>
      <c r="BE88" s="96"/>
      <c r="BF88" s="96"/>
      <c r="BG88" s="119" t="s">
        <v>401</v>
      </c>
      <c r="BH88" s="96"/>
      <c r="BI88" s="96"/>
      <c r="BJ88" s="96"/>
      <c r="BK88" s="96"/>
      <c r="BL88" s="96"/>
      <c r="BM88" s="96"/>
      <c r="BN88" s="96"/>
      <c r="BO88" s="96"/>
      <c r="BP88" s="96"/>
      <c r="BQ88" s="96"/>
      <c r="BR88" s="98"/>
      <c r="BS88" s="98"/>
      <c r="BT88" s="98"/>
      <c r="BU88" s="98"/>
      <c r="BV88" s="98"/>
      <c r="BW88" s="98"/>
      <c r="BX88" s="98"/>
      <c r="BY88" s="98"/>
      <c r="BZ88" s="98"/>
      <c r="CA88" s="98"/>
    </row>
    <row r="89" spans="32:79" ht="13.5" customHeight="1">
      <c r="AF89" s="7"/>
      <c r="AG89" s="7"/>
      <c r="AH89" s="7"/>
      <c r="AI89" s="7"/>
      <c r="AJ89" s="7"/>
      <c r="BA89" s="96"/>
      <c r="BB89" s="109" t="s">
        <v>428</v>
      </c>
      <c r="BC89" s="96"/>
      <c r="BD89" s="96"/>
      <c r="BE89" s="96"/>
      <c r="BF89" s="96"/>
      <c r="BG89" s="804" t="s">
        <v>2973</v>
      </c>
      <c r="BH89" s="96"/>
      <c r="BI89" s="96"/>
      <c r="BJ89" s="96"/>
      <c r="BK89" s="96"/>
      <c r="BL89" s="96"/>
      <c r="BM89" s="96"/>
      <c r="BN89" s="96"/>
      <c r="BO89" s="96"/>
      <c r="BP89" s="96"/>
      <c r="BQ89" s="96"/>
      <c r="BR89" s="98"/>
      <c r="BS89" s="98"/>
      <c r="BT89" s="98"/>
      <c r="BU89" s="98"/>
      <c r="BV89" s="98"/>
      <c r="BW89" s="98"/>
      <c r="BX89" s="98"/>
      <c r="BY89" s="98"/>
      <c r="BZ89" s="98"/>
      <c r="CA89" s="98"/>
    </row>
    <row r="90" spans="32:79" ht="13.5" customHeight="1">
      <c r="AF90" s="7"/>
      <c r="AG90" s="7"/>
      <c r="AH90" s="7"/>
      <c r="AI90" s="7"/>
      <c r="AJ90" s="7"/>
      <c r="BA90" s="96"/>
      <c r="BB90" s="109" t="s">
        <v>400</v>
      </c>
      <c r="BC90" s="96"/>
      <c r="BD90" s="96"/>
      <c r="BE90" s="96"/>
      <c r="BF90" s="96"/>
      <c r="BG90" s="805" t="s">
        <v>2974</v>
      </c>
      <c r="BH90" s="96"/>
      <c r="BI90" s="96"/>
      <c r="BJ90" s="96"/>
      <c r="BK90" s="96"/>
      <c r="BL90" s="96"/>
      <c r="BM90" s="96"/>
      <c r="BN90" s="96"/>
      <c r="BO90" s="96"/>
      <c r="BP90" s="96"/>
      <c r="BQ90" s="96"/>
      <c r="BR90" s="98"/>
      <c r="BS90" s="98"/>
      <c r="BT90" s="98"/>
      <c r="BU90" s="98"/>
      <c r="BV90" s="98"/>
      <c r="BW90" s="98"/>
      <c r="BX90" s="98"/>
      <c r="BY90" s="98"/>
      <c r="BZ90" s="98"/>
      <c r="CA90" s="98"/>
    </row>
    <row r="91" spans="32:79" ht="13.5" customHeight="1">
      <c r="AF91" s="7"/>
      <c r="AG91" s="7"/>
      <c r="AH91" s="7"/>
      <c r="AI91" s="7"/>
      <c r="AJ91" s="7"/>
      <c r="BA91" s="96"/>
      <c r="BB91" s="96"/>
      <c r="BC91" s="96"/>
      <c r="BD91" s="96"/>
      <c r="BE91" s="96"/>
      <c r="BF91" s="96"/>
      <c r="BG91" s="805" t="s">
        <v>2975</v>
      </c>
      <c r="BH91" s="96"/>
      <c r="BI91" s="96"/>
      <c r="BJ91" s="96"/>
      <c r="BK91" s="96"/>
      <c r="BL91" s="96"/>
      <c r="BM91" s="96"/>
      <c r="BN91" s="96"/>
      <c r="BO91" s="96"/>
      <c r="BP91" s="96"/>
      <c r="BQ91" s="96"/>
      <c r="BR91" s="98"/>
      <c r="BS91" s="98"/>
      <c r="BT91" s="98"/>
      <c r="BU91" s="98"/>
      <c r="BV91" s="98"/>
      <c r="BW91" s="98"/>
      <c r="BX91" s="98"/>
      <c r="BY91" s="98"/>
      <c r="BZ91" s="98"/>
      <c r="CA91" s="98"/>
    </row>
    <row r="92" spans="32:79" ht="13.5" customHeight="1">
      <c r="AF92" s="7"/>
      <c r="AG92" s="7"/>
      <c r="AH92" s="7"/>
      <c r="AI92" s="7"/>
      <c r="AJ92" s="7"/>
      <c r="BA92" s="96"/>
      <c r="BB92" s="96"/>
      <c r="BC92" s="96"/>
      <c r="BD92" s="96"/>
      <c r="BE92" s="96"/>
      <c r="BF92" s="96"/>
      <c r="BG92" s="805" t="s">
        <v>2966</v>
      </c>
      <c r="BH92" s="96"/>
      <c r="BI92" s="96"/>
      <c r="BJ92" s="96"/>
      <c r="BK92" s="96"/>
      <c r="BL92" s="96"/>
      <c r="BM92" s="96"/>
      <c r="BN92" s="96"/>
      <c r="BO92" s="96"/>
      <c r="BP92" s="96"/>
      <c r="BQ92" s="96"/>
      <c r="BR92" s="98"/>
      <c r="BS92" s="98"/>
      <c r="BT92" s="98"/>
      <c r="BU92" s="98"/>
      <c r="BV92" s="98"/>
      <c r="BW92" s="98"/>
      <c r="BX92" s="98"/>
      <c r="BY92" s="98"/>
      <c r="BZ92" s="98"/>
      <c r="CA92" s="98"/>
    </row>
    <row r="93" spans="32:79" ht="13.5" customHeight="1">
      <c r="AF93" s="7"/>
      <c r="AG93" s="7"/>
      <c r="AH93" s="7"/>
      <c r="AI93" s="7"/>
      <c r="AJ93" s="7"/>
      <c r="BA93" s="96"/>
      <c r="BB93" s="96"/>
      <c r="BC93" s="96"/>
      <c r="BD93" s="96"/>
      <c r="BE93" s="96"/>
      <c r="BF93" s="96"/>
      <c r="BG93" s="805" t="s">
        <v>2976</v>
      </c>
      <c r="BH93" s="96"/>
      <c r="BI93" s="96"/>
      <c r="BJ93" s="96"/>
      <c r="BK93" s="96"/>
      <c r="BL93" s="96"/>
      <c r="BM93" s="96"/>
      <c r="BN93" s="96"/>
      <c r="BO93" s="96"/>
      <c r="BP93" s="96"/>
      <c r="BQ93" s="96"/>
      <c r="BR93" s="98"/>
      <c r="BS93" s="98"/>
      <c r="BT93" s="98"/>
      <c r="BU93" s="98"/>
      <c r="BV93" s="98"/>
      <c r="BW93" s="98"/>
      <c r="BX93" s="98"/>
      <c r="BY93" s="98"/>
      <c r="BZ93" s="98"/>
      <c r="CA93" s="98"/>
    </row>
    <row r="94" spans="32:79" ht="13.5" customHeight="1">
      <c r="AF94" s="7"/>
      <c r="AG94" s="7"/>
      <c r="AH94" s="7"/>
      <c r="AI94" s="7"/>
      <c r="AJ94" s="7"/>
      <c r="BA94" s="96"/>
      <c r="BB94" s="96"/>
      <c r="BC94" s="96"/>
      <c r="BD94" s="96"/>
      <c r="BE94" s="96"/>
      <c r="BF94" s="96"/>
      <c r="BG94" s="805" t="s">
        <v>2977</v>
      </c>
      <c r="BH94" s="96"/>
      <c r="BI94" s="96"/>
      <c r="BJ94" s="96"/>
      <c r="BK94" s="96"/>
      <c r="BL94" s="96"/>
      <c r="BM94" s="96"/>
      <c r="BN94" s="96"/>
      <c r="BO94" s="96"/>
      <c r="BP94" s="96"/>
      <c r="BQ94" s="96"/>
      <c r="BR94" s="98"/>
      <c r="BS94" s="98"/>
      <c r="BT94" s="98"/>
      <c r="BU94" s="98"/>
      <c r="BV94" s="98"/>
      <c r="BW94" s="98"/>
      <c r="BX94" s="98"/>
      <c r="BY94" s="98"/>
      <c r="BZ94" s="98"/>
      <c r="CA94" s="98"/>
    </row>
    <row r="95" spans="32:79" ht="13.5" customHeight="1">
      <c r="AF95" s="7"/>
      <c r="AG95" s="7"/>
      <c r="AH95" s="7"/>
      <c r="AI95" s="7"/>
      <c r="AJ95" s="7"/>
      <c r="BA95" s="96"/>
      <c r="BB95" s="96"/>
      <c r="BC95" s="96"/>
      <c r="BD95" s="96"/>
      <c r="BE95" s="96"/>
      <c r="BF95" s="96"/>
      <c r="BG95" s="806" t="s">
        <v>2874</v>
      </c>
      <c r="BH95" s="96"/>
      <c r="BI95" s="96"/>
      <c r="BJ95" s="96"/>
      <c r="BK95" s="96"/>
      <c r="BL95" s="96"/>
      <c r="BM95" s="96"/>
      <c r="BN95" s="96"/>
      <c r="BO95" s="96"/>
      <c r="BP95" s="96"/>
      <c r="BQ95" s="96"/>
      <c r="BR95" s="98"/>
      <c r="BS95" s="98"/>
      <c r="BT95" s="98"/>
      <c r="BU95" s="98"/>
      <c r="BV95" s="98"/>
      <c r="BW95" s="98"/>
      <c r="BX95" s="98"/>
      <c r="BY95" s="98"/>
      <c r="BZ95" s="98"/>
      <c r="CA95" s="98"/>
    </row>
    <row r="96" spans="32:79" ht="13.5" customHeight="1">
      <c r="AF96" s="7"/>
      <c r="AG96" s="7"/>
      <c r="AH96" s="7"/>
      <c r="AI96" s="7"/>
      <c r="AJ96" s="7"/>
      <c r="BA96" s="96"/>
      <c r="BB96" s="96"/>
      <c r="BC96" s="96"/>
      <c r="BD96" s="96"/>
      <c r="BE96" s="96"/>
      <c r="BF96" s="96"/>
      <c r="BG96" s="806" t="s">
        <v>2875</v>
      </c>
      <c r="BH96" s="96"/>
      <c r="BI96" s="96"/>
      <c r="BJ96" s="96"/>
      <c r="BK96" s="96"/>
      <c r="BL96" s="96"/>
      <c r="BM96" s="96"/>
      <c r="BN96" s="96"/>
      <c r="BO96" s="96"/>
      <c r="BP96" s="96"/>
      <c r="BQ96" s="96"/>
      <c r="BR96" s="98"/>
      <c r="BS96" s="98"/>
      <c r="BT96" s="98"/>
      <c r="BU96" s="98"/>
      <c r="BV96" s="98"/>
      <c r="BW96" s="98"/>
      <c r="BX96" s="98"/>
      <c r="BY96" s="98"/>
      <c r="BZ96" s="98"/>
      <c r="CA96" s="98"/>
    </row>
    <row r="97" spans="32:79" ht="13.5" customHeight="1">
      <c r="AF97" s="7"/>
      <c r="AG97" s="7"/>
      <c r="AH97" s="7"/>
      <c r="AI97" s="7"/>
      <c r="AJ97" s="7"/>
      <c r="BA97" s="96"/>
      <c r="BB97" s="96"/>
      <c r="BC97" s="96"/>
      <c r="BD97" s="96"/>
      <c r="BE97" s="96"/>
      <c r="BF97" s="96"/>
      <c r="BG97" s="806" t="s">
        <v>2876</v>
      </c>
      <c r="BH97" s="96"/>
      <c r="BI97" s="96"/>
      <c r="BJ97" s="96"/>
      <c r="BK97" s="96"/>
      <c r="BL97" s="96"/>
      <c r="BM97" s="96"/>
      <c r="BN97" s="96"/>
      <c r="BO97" s="96"/>
      <c r="BP97" s="96"/>
      <c r="BQ97" s="96"/>
      <c r="BR97" s="98"/>
      <c r="BS97" s="98"/>
      <c r="BT97" s="98"/>
      <c r="BU97" s="98"/>
      <c r="BV97" s="98"/>
      <c r="BW97" s="98"/>
      <c r="BX97" s="98"/>
      <c r="BY97" s="98"/>
      <c r="BZ97" s="98"/>
      <c r="CA97" s="98"/>
    </row>
    <row r="98" spans="32:79" ht="13.5" customHeight="1">
      <c r="AF98" s="7"/>
      <c r="AG98" s="7"/>
      <c r="AH98" s="7"/>
      <c r="AI98" s="7"/>
      <c r="AJ98" s="7"/>
      <c r="BA98" s="96"/>
      <c r="BB98" s="96"/>
      <c r="BC98" s="96"/>
      <c r="BD98" s="96"/>
      <c r="BE98" s="96"/>
      <c r="BF98" s="96"/>
      <c r="BG98" s="806" t="s">
        <v>2871</v>
      </c>
      <c r="BH98" s="96"/>
      <c r="BI98" s="96"/>
      <c r="BJ98" s="96"/>
      <c r="BK98" s="96"/>
      <c r="BL98" s="96"/>
      <c r="BM98" s="96"/>
      <c r="BN98" s="96"/>
      <c r="BO98" s="96"/>
      <c r="BP98" s="96"/>
      <c r="BQ98" s="96"/>
      <c r="BR98" s="98"/>
      <c r="BS98" s="98"/>
      <c r="BT98" s="98"/>
      <c r="BU98" s="98"/>
      <c r="BV98" s="98"/>
      <c r="BW98" s="98"/>
      <c r="BX98" s="98"/>
      <c r="BY98" s="98"/>
      <c r="BZ98" s="98"/>
      <c r="CA98" s="98"/>
    </row>
    <row r="99" spans="32:79" ht="13.5" customHeight="1">
      <c r="AF99" s="7"/>
      <c r="AG99" s="7"/>
      <c r="AH99" s="7"/>
      <c r="AI99" s="7"/>
      <c r="AJ99" s="7"/>
      <c r="BA99" s="96"/>
      <c r="BB99" s="96"/>
      <c r="BC99" s="96"/>
      <c r="BD99" s="96"/>
      <c r="BE99" s="96"/>
      <c r="BF99" s="96"/>
      <c r="BG99" s="806" t="s">
        <v>2872</v>
      </c>
      <c r="BH99" s="96"/>
      <c r="BI99" s="96"/>
      <c r="BJ99" s="96"/>
      <c r="BK99" s="96"/>
      <c r="BL99" s="96"/>
      <c r="BM99" s="96"/>
      <c r="BN99" s="96"/>
      <c r="BO99" s="96"/>
      <c r="BP99" s="96"/>
      <c r="BQ99" s="96"/>
      <c r="BR99" s="98"/>
      <c r="BS99" s="98"/>
      <c r="BT99" s="98"/>
      <c r="BU99" s="98"/>
      <c r="BV99" s="98"/>
      <c r="BW99" s="98"/>
      <c r="BX99" s="98"/>
      <c r="BY99" s="98"/>
      <c r="BZ99" s="98"/>
      <c r="CA99" s="98"/>
    </row>
    <row r="100" spans="32:79" ht="13.5" customHeight="1">
      <c r="AF100" s="7"/>
      <c r="AG100" s="7"/>
      <c r="AH100" s="7"/>
      <c r="AI100" s="7"/>
      <c r="AJ100" s="7"/>
      <c r="BA100" s="96"/>
      <c r="BB100" s="96"/>
      <c r="BC100" s="96"/>
      <c r="BD100" s="96"/>
      <c r="BE100" s="96"/>
      <c r="BF100" s="96"/>
      <c r="BG100" s="806" t="s">
        <v>2873</v>
      </c>
      <c r="BH100" s="96"/>
      <c r="BI100" s="96"/>
      <c r="BJ100" s="96"/>
      <c r="BK100" s="96"/>
      <c r="BL100" s="96"/>
      <c r="BM100" s="96"/>
      <c r="BN100" s="96"/>
      <c r="BO100" s="96"/>
      <c r="BP100" s="96"/>
      <c r="BQ100" s="96"/>
      <c r="BR100" s="98"/>
      <c r="BS100" s="98"/>
      <c r="BT100" s="98"/>
      <c r="BU100" s="98"/>
      <c r="BV100" s="98"/>
      <c r="BW100" s="98"/>
      <c r="BX100" s="98"/>
      <c r="BY100" s="98"/>
      <c r="BZ100" s="98"/>
      <c r="CA100" s="98"/>
    </row>
    <row r="101" spans="32:79" ht="13.5" customHeight="1">
      <c r="AF101" s="7"/>
      <c r="AG101" s="7"/>
      <c r="AH101" s="7"/>
      <c r="AI101" s="7"/>
      <c r="AJ101" s="7"/>
      <c r="BA101" s="96"/>
      <c r="BB101" s="96"/>
      <c r="BC101" s="96"/>
      <c r="BD101" s="96"/>
      <c r="BE101" s="96"/>
      <c r="BF101" s="96"/>
      <c r="BG101" s="96"/>
      <c r="BH101" s="96"/>
      <c r="BI101" s="96"/>
      <c r="BJ101" s="96"/>
      <c r="BK101" s="96"/>
      <c r="BL101" s="96"/>
      <c r="BM101" s="96"/>
      <c r="BN101" s="96"/>
      <c r="BO101" s="96"/>
      <c r="BP101" s="96"/>
      <c r="BQ101" s="96"/>
      <c r="BR101" s="98"/>
      <c r="BS101" s="98"/>
      <c r="BT101" s="98"/>
      <c r="BU101" s="98"/>
      <c r="BV101" s="98"/>
      <c r="BW101" s="98"/>
      <c r="BX101" s="98"/>
      <c r="BY101" s="98"/>
      <c r="BZ101" s="98"/>
      <c r="CA101" s="98"/>
    </row>
    <row r="102" spans="32:79" ht="13.5" customHeight="1">
      <c r="AF102" s="7"/>
      <c r="AG102" s="7"/>
      <c r="AH102" s="7"/>
      <c r="AI102" s="7"/>
      <c r="AJ102" s="7"/>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row>
    <row r="103" spans="32:79" ht="13.5" customHeight="1">
      <c r="AF103" s="7"/>
      <c r="AG103" s="7"/>
      <c r="AH103" s="7"/>
      <c r="AI103" s="7"/>
      <c r="AJ103" s="7"/>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row>
    <row r="104" spans="32:79" ht="13.5" customHeight="1">
      <c r="AF104" s="7"/>
      <c r="AG104" s="7"/>
      <c r="AH104" s="7"/>
      <c r="AI104" s="7"/>
      <c r="AJ104" s="7"/>
      <c r="BA104" s="98"/>
      <c r="BB104" s="98" t="s">
        <v>418</v>
      </c>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row>
    <row r="105" spans="32:79" ht="13.5" customHeight="1" thickBot="1">
      <c r="AF105" s="7"/>
      <c r="AG105" s="7"/>
      <c r="AH105" s="7"/>
      <c r="AI105" s="7"/>
      <c r="AJ105" s="7"/>
      <c r="BA105" s="98"/>
      <c r="BB105" s="98" t="s">
        <v>419</v>
      </c>
      <c r="BC105" s="98" t="s">
        <v>420</v>
      </c>
      <c r="BD105" s="98" t="s">
        <v>415</v>
      </c>
      <c r="BE105" s="98" t="s">
        <v>427</v>
      </c>
      <c r="BF105" s="98" t="s">
        <v>426</v>
      </c>
      <c r="BG105" s="98" t="s">
        <v>421</v>
      </c>
      <c r="BH105" s="98" t="s">
        <v>430</v>
      </c>
      <c r="BI105" s="98" t="s">
        <v>429</v>
      </c>
      <c r="BJ105" s="98"/>
      <c r="BK105" s="98"/>
      <c r="BL105" s="98" t="s">
        <v>419</v>
      </c>
      <c r="BM105" s="98" t="s">
        <v>420</v>
      </c>
      <c r="BN105" s="98" t="s">
        <v>415</v>
      </c>
      <c r="BO105" s="98" t="s">
        <v>440</v>
      </c>
      <c r="BP105" s="98" t="s">
        <v>441</v>
      </c>
      <c r="BQ105" s="98" t="s">
        <v>442</v>
      </c>
      <c r="BR105" s="98" t="s">
        <v>443</v>
      </c>
      <c r="BS105" s="98"/>
      <c r="BT105" s="98" t="s">
        <v>419</v>
      </c>
      <c r="BU105" s="98" t="s">
        <v>420</v>
      </c>
      <c r="BV105" s="98" t="s">
        <v>444</v>
      </c>
      <c r="BW105" s="98" t="s">
        <v>415</v>
      </c>
      <c r="BX105" s="98" t="s">
        <v>440</v>
      </c>
      <c r="BY105" s="98" t="s">
        <v>441</v>
      </c>
      <c r="BZ105" s="98" t="s">
        <v>442</v>
      </c>
      <c r="CA105" s="98"/>
    </row>
    <row r="106" spans="32:79" ht="13.5" customHeight="1">
      <c r="AF106" s="7"/>
      <c r="AG106" s="7"/>
      <c r="AH106" s="7"/>
      <c r="AI106" s="7"/>
      <c r="AJ106" s="7"/>
      <c r="BA106" s="98" t="s">
        <v>424</v>
      </c>
      <c r="BB106" s="120">
        <f>A30</f>
        <v>0</v>
      </c>
      <c r="BC106" s="120">
        <f>C30</f>
        <v>0</v>
      </c>
      <c r="BD106" s="120">
        <f>IF(AND(NOT($H$30="通常食"),NOT($H$30="キッズ")),$H$30,"")</f>
        <v>0</v>
      </c>
      <c r="BE106" s="121" t="e">
        <f>IF(NOT($BD106=""),VLOOKUP($BD106,$BD$188:$BF$219,2,0),"")</f>
        <v>#N/A</v>
      </c>
      <c r="BF106" s="120" t="e">
        <f>IF(NOT($BD106=""),VLOOKUP($BD106,$BD$188:$BF$219,3,0),"")</f>
        <v>#N/A</v>
      </c>
      <c r="BG106" s="122">
        <f>IF(AND(NOT($H$30="通常食"),NOT($H$30="キッズ")),$R$30,"")</f>
        <v>0</v>
      </c>
      <c r="BH106" s="113"/>
      <c r="BI106" s="113">
        <f>IF(OR(BG106="",BG106=0),0,48)</f>
        <v>0</v>
      </c>
      <c r="BJ106" s="98"/>
      <c r="BK106" s="98"/>
      <c r="BL106" s="59">
        <f>INDEX($BB$106:$BB$153,MATCH($BR106,$BI$106:$BI$153,0))</f>
        <v>0</v>
      </c>
      <c r="BM106" s="59">
        <f>INDEX($BC$106:$BC$153,MATCH($BR106,$BI$106:$BI$153,0))</f>
        <v>0</v>
      </c>
      <c r="BN106" s="59" t="e">
        <f>INDEX($BE$106:$BE$153,MATCH($BR106,$BI$106:$BI$153,0))</f>
        <v>#N/A</v>
      </c>
      <c r="BO106" s="59" t="e">
        <f>INDEX($BF$106:$BF$153,MATCH($BR106,$BI$106:$BI$153,0))</f>
        <v>#N/A</v>
      </c>
      <c r="BP106" s="59">
        <f>INDEX($BG$106:$BG$153,MATCH($BR106,$BI$106:$BI$153,0))</f>
        <v>0</v>
      </c>
      <c r="BQ106" s="113" t="e">
        <f>BO106*BP106</f>
        <v>#N/A</v>
      </c>
      <c r="BR106" s="113">
        <f t="shared" ref="BR106:BR123" si="10">LARGE($BI$106:$BI$153,ROW(A1))</f>
        <v>0</v>
      </c>
      <c r="BS106" s="98"/>
      <c r="BT106" s="59">
        <f>IF(NOT($BR106=0),BL106,0)</f>
        <v>0</v>
      </c>
      <c r="BU106" s="59">
        <f t="shared" ref="BU106:BU121" si="11">IF(NOT($BR106=0),BM106,0)</f>
        <v>0</v>
      </c>
      <c r="BV106" s="59">
        <f>IF(BU106="朝　食","朝",(IF(BU106="昼　食","昼",(IF(BU106="夕　食","夕",0)))))</f>
        <v>0</v>
      </c>
      <c r="BW106" s="59">
        <f t="shared" ref="BW106:BW123" si="12">IF(NOT($BR106=0),BN106,0)</f>
        <v>0</v>
      </c>
      <c r="BX106" s="59">
        <f t="shared" ref="BX106:BX123" si="13">IF(NOT($BR106=0),BO106,0)</f>
        <v>0</v>
      </c>
      <c r="BY106" s="59">
        <f t="shared" ref="BY106:BY123" si="14">IF(NOT($BR106=0),BP106,0)</f>
        <v>0</v>
      </c>
      <c r="BZ106" s="59">
        <f>IF(NOT($BR106=0),BQ106,0)</f>
        <v>0</v>
      </c>
      <c r="CA106" s="105"/>
    </row>
    <row r="107" spans="32:79" ht="13.5" customHeight="1">
      <c r="AF107" s="7"/>
      <c r="AG107" s="7"/>
      <c r="AH107" s="7"/>
      <c r="AI107" s="7"/>
      <c r="AJ107" s="7"/>
      <c r="BA107" s="98" t="s">
        <v>422</v>
      </c>
      <c r="BB107" s="123">
        <f>A30</f>
        <v>0</v>
      </c>
      <c r="BC107" s="123">
        <f>C30</f>
        <v>0</v>
      </c>
      <c r="BD107" s="124" t="str">
        <f>IF(AND(OR(($H$30="通常食"),($H$30="キッズ")),NOT(OR($M$30=0,$M$30=""))),$H$30,"")</f>
        <v/>
      </c>
      <c r="BE107" s="123" t="str">
        <f>IF($BG107="","",VLOOKUP($BH107,$BD$160:$BF$188,2,0))</f>
        <v/>
      </c>
      <c r="BF107" s="123" t="str">
        <f>IF($BG107="","",VLOOKUP($BH107,$BD$160:$BF$188,3,0))</f>
        <v/>
      </c>
      <c r="BG107" s="124" t="str">
        <f>IF(AND(OR(($H$30="通常食"),($H$30="キッズ")),NOT(OR($M$30=0,$M$30=""))),$M$30,"")</f>
        <v/>
      </c>
      <c r="BH107" s="113" t="str">
        <f>BC107&amp;BD107&amp;BA107</f>
        <v>0幼児</v>
      </c>
      <c r="BI107" s="113">
        <f>IF(OR(BG107="",BG107=0),0,47)</f>
        <v>0</v>
      </c>
      <c r="BJ107" s="98"/>
      <c r="BK107" s="98"/>
      <c r="BL107" s="59">
        <f t="shared" ref="BL107:BL123" si="15">INDEX($BB$106:$BB$153,MATCH($BR107,$BI$106:$BI$153,0))</f>
        <v>0</v>
      </c>
      <c r="BM107" s="59">
        <f t="shared" ref="BM107:BM123" si="16">INDEX($BC$106:$BC$153,MATCH($BR107,$BI$106:$BI$153,0))</f>
        <v>0</v>
      </c>
      <c r="BN107" s="59" t="e">
        <f>INDEX($BE$106:$BE$153,MATCH($BR107,$BI$106:$BI$153,0))</f>
        <v>#N/A</v>
      </c>
      <c r="BO107" s="59" t="e">
        <f t="shared" ref="BO107:BO123" si="17">INDEX($BF$106:$BF$153,MATCH($BR107,$BI$106:$BI$153,0))</f>
        <v>#N/A</v>
      </c>
      <c r="BP107" s="59">
        <f t="shared" ref="BP107:BP123" si="18">INDEX($BG$106:$BG$153,MATCH($BR107,$BI$106:$BI$153,0))</f>
        <v>0</v>
      </c>
      <c r="BQ107" s="113" t="e">
        <f t="shared" ref="BQ107:BQ123" si="19">BO107*BP107</f>
        <v>#N/A</v>
      </c>
      <c r="BR107" s="113">
        <f t="shared" si="10"/>
        <v>0</v>
      </c>
      <c r="BS107" s="98"/>
      <c r="BT107" s="59">
        <f t="shared" ref="BT107:BU123" si="20">IF(NOT($BR107=0),BL107,0)</f>
        <v>0</v>
      </c>
      <c r="BU107" s="59">
        <f t="shared" si="11"/>
        <v>0</v>
      </c>
      <c r="BV107" s="59">
        <f t="shared" ref="BV107:BV123" si="21">IF(BU107="朝　食","朝",(IF(BU107="昼　食","昼",(IF(BU107="夕　食","夕",0)))))</f>
        <v>0</v>
      </c>
      <c r="BW107" s="59">
        <f t="shared" si="12"/>
        <v>0</v>
      </c>
      <c r="BX107" s="59">
        <f t="shared" si="13"/>
        <v>0</v>
      </c>
      <c r="BY107" s="59">
        <f t="shared" si="14"/>
        <v>0</v>
      </c>
      <c r="BZ107" s="59">
        <f t="shared" ref="BZ107:BZ123" si="22">IF(NOT($BR107=0),BQ107,0)</f>
        <v>0</v>
      </c>
      <c r="CA107" s="105"/>
    </row>
    <row r="108" spans="32:79" ht="13.5" customHeight="1">
      <c r="AF108" s="7"/>
      <c r="AG108" s="7"/>
      <c r="AH108" s="7"/>
      <c r="AI108" s="7"/>
      <c r="AJ108" s="7"/>
      <c r="BA108" s="98" t="s">
        <v>423</v>
      </c>
      <c r="BB108" s="123">
        <f>A30</f>
        <v>0</v>
      </c>
      <c r="BC108" s="123">
        <f>C30</f>
        <v>0</v>
      </c>
      <c r="BD108" s="124" t="str">
        <f>IF(AND(OR(($H$30="通常食"),($H$30="キッズ")),NOT(OR($N$30=0,$N$30=""))),$H$30,"")</f>
        <v/>
      </c>
      <c r="BE108" s="123" t="str">
        <f>IF($BG108="","",VLOOKUP($BH108,$BD$160:$BF$188,2,0))</f>
        <v/>
      </c>
      <c r="BF108" s="123" t="str">
        <f>IF($BG108="","",VLOOKUP($BH108,$BD$160:$BF$188,3,0))</f>
        <v/>
      </c>
      <c r="BG108" s="124" t="str">
        <f>IF(AND(OR(($H$30="通常食"),($H$30="キッズ")),NOT(OR($N$30=0,$N$30=""))),$N$30,"")</f>
        <v/>
      </c>
      <c r="BH108" s="113" t="str">
        <f t="shared" ref="BH108:BH153" si="23">BC108&amp;BD108&amp;BA108</f>
        <v>0小学生</v>
      </c>
      <c r="BI108" s="113">
        <f>IF(OR(BG108="",BG108=0),0,46)</f>
        <v>0</v>
      </c>
      <c r="BJ108" s="98"/>
      <c r="BK108" s="98"/>
      <c r="BL108" s="59">
        <f t="shared" si="15"/>
        <v>0</v>
      </c>
      <c r="BM108" s="59">
        <f t="shared" si="16"/>
        <v>0</v>
      </c>
      <c r="BN108" s="59" t="e">
        <f t="shared" ref="BN108:BN123" si="24">INDEX($BE$106:$BE$153,MATCH($BR108,$BI$106:$BI$153,0))</f>
        <v>#N/A</v>
      </c>
      <c r="BO108" s="59" t="e">
        <f t="shared" si="17"/>
        <v>#N/A</v>
      </c>
      <c r="BP108" s="59">
        <f t="shared" si="18"/>
        <v>0</v>
      </c>
      <c r="BQ108" s="113" t="e">
        <f t="shared" si="19"/>
        <v>#N/A</v>
      </c>
      <c r="BR108" s="113">
        <f t="shared" si="10"/>
        <v>0</v>
      </c>
      <c r="BS108" s="98"/>
      <c r="BT108" s="59">
        <f t="shared" si="20"/>
        <v>0</v>
      </c>
      <c r="BU108" s="59">
        <f t="shared" si="11"/>
        <v>0</v>
      </c>
      <c r="BV108" s="59">
        <f t="shared" si="21"/>
        <v>0</v>
      </c>
      <c r="BW108" s="59">
        <f t="shared" si="12"/>
        <v>0</v>
      </c>
      <c r="BX108" s="59">
        <f t="shared" si="13"/>
        <v>0</v>
      </c>
      <c r="BY108" s="59">
        <f t="shared" si="14"/>
        <v>0</v>
      </c>
      <c r="BZ108" s="59">
        <f t="shared" si="22"/>
        <v>0</v>
      </c>
      <c r="CA108" s="105"/>
    </row>
    <row r="109" spans="32:79" ht="13.5" customHeight="1" thickBot="1">
      <c r="AF109" s="7"/>
      <c r="AG109" s="7"/>
      <c r="AH109" s="7"/>
      <c r="AI109" s="7"/>
      <c r="AJ109" s="7"/>
      <c r="BA109" s="125" t="s">
        <v>425</v>
      </c>
      <c r="BB109" s="126">
        <f>A30</f>
        <v>0</v>
      </c>
      <c r="BC109" s="126">
        <f>C30</f>
        <v>0</v>
      </c>
      <c r="BD109" s="124" t="str">
        <f>IF(AND(OR(($H$30="通常食"),($H$30="キッズ")),NOT(OR($P$30=0,$P$30=""))),$H$30,"")</f>
        <v/>
      </c>
      <c r="BE109" s="123" t="str">
        <f>IF($BG109="","",VLOOKUP($BH109,$BD$160:$BF$188,2,0))</f>
        <v/>
      </c>
      <c r="BF109" s="123" t="str">
        <f>IF($BG109="","",VLOOKUP($BH109,$BD$160:$BF$188,3,0))</f>
        <v/>
      </c>
      <c r="BG109" s="124" t="str">
        <f>IF(AND(OR(($H$30="通常食"),($H$30="キッズ")),NOT(OR($P$30=0,$P$30=""))),$P$30,"")</f>
        <v/>
      </c>
      <c r="BH109" s="113" t="str">
        <f t="shared" si="23"/>
        <v>0中学生以上</v>
      </c>
      <c r="BI109" s="113">
        <f>IF(OR(BG109="",BG109=0),0,45)</f>
        <v>0</v>
      </c>
      <c r="BJ109" s="98"/>
      <c r="BK109" s="98"/>
      <c r="BL109" s="59">
        <f t="shared" si="15"/>
        <v>0</v>
      </c>
      <c r="BM109" s="59">
        <f t="shared" si="16"/>
        <v>0</v>
      </c>
      <c r="BN109" s="59" t="e">
        <f t="shared" si="24"/>
        <v>#N/A</v>
      </c>
      <c r="BO109" s="59" t="e">
        <f t="shared" si="17"/>
        <v>#N/A</v>
      </c>
      <c r="BP109" s="59">
        <f t="shared" si="18"/>
        <v>0</v>
      </c>
      <c r="BQ109" s="113" t="e">
        <f t="shared" si="19"/>
        <v>#N/A</v>
      </c>
      <c r="BR109" s="113">
        <f t="shared" si="10"/>
        <v>0</v>
      </c>
      <c r="BS109" s="98"/>
      <c r="BT109" s="59">
        <f t="shared" si="20"/>
        <v>0</v>
      </c>
      <c r="BU109" s="59">
        <f t="shared" si="11"/>
        <v>0</v>
      </c>
      <c r="BV109" s="59">
        <f t="shared" si="21"/>
        <v>0</v>
      </c>
      <c r="BW109" s="59">
        <f t="shared" si="12"/>
        <v>0</v>
      </c>
      <c r="BX109" s="59">
        <f t="shared" si="13"/>
        <v>0</v>
      </c>
      <c r="BY109" s="59">
        <f t="shared" si="14"/>
        <v>0</v>
      </c>
      <c r="BZ109" s="59">
        <f t="shared" si="22"/>
        <v>0</v>
      </c>
      <c r="CA109" s="105"/>
    </row>
    <row r="110" spans="32:79" ht="13.5" customHeight="1">
      <c r="AF110" s="7"/>
      <c r="AG110" s="7"/>
      <c r="AH110" s="7"/>
      <c r="AI110" s="7"/>
      <c r="AJ110" s="7"/>
      <c r="BA110" s="98" t="s">
        <v>424</v>
      </c>
      <c r="BB110" s="120">
        <f>A31</f>
        <v>0</v>
      </c>
      <c r="BC110" s="120">
        <f>C31</f>
        <v>0</v>
      </c>
      <c r="BD110" s="120">
        <f>IF(AND(NOT($H$31="通常食"),NOT($H$31="キッズ")),$H$31,"")</f>
        <v>0</v>
      </c>
      <c r="BE110" s="120" t="e">
        <f>IF(NOT($BD110=""),VLOOKUP($BD110,$BD$187:$BF$219,2,0),"")</f>
        <v>#N/A</v>
      </c>
      <c r="BF110" s="120" t="e">
        <f>IF(NOT($BD110=""),VLOOKUP($BD110,$BD$188:$BF$219,3,0),"")</f>
        <v>#N/A</v>
      </c>
      <c r="BG110" s="122">
        <f>IF(AND(NOT($H$31="通常食"),NOT($H$31="キッズ")),$R$31,"")</f>
        <v>0</v>
      </c>
      <c r="BH110" s="113"/>
      <c r="BI110" s="113">
        <f>IF(OR(BG110="",BG110=0),0,44)</f>
        <v>0</v>
      </c>
      <c r="BJ110" s="98"/>
      <c r="BK110" s="98"/>
      <c r="BL110" s="59">
        <f t="shared" si="15"/>
        <v>0</v>
      </c>
      <c r="BM110" s="59">
        <f t="shared" si="16"/>
        <v>0</v>
      </c>
      <c r="BN110" s="59" t="e">
        <f t="shared" si="24"/>
        <v>#N/A</v>
      </c>
      <c r="BO110" s="59" t="e">
        <f t="shared" si="17"/>
        <v>#N/A</v>
      </c>
      <c r="BP110" s="59">
        <f t="shared" si="18"/>
        <v>0</v>
      </c>
      <c r="BQ110" s="113" t="e">
        <f t="shared" si="19"/>
        <v>#N/A</v>
      </c>
      <c r="BR110" s="113">
        <f t="shared" si="10"/>
        <v>0</v>
      </c>
      <c r="BS110" s="98"/>
      <c r="BT110" s="59">
        <f t="shared" si="20"/>
        <v>0</v>
      </c>
      <c r="BU110" s="59">
        <f t="shared" si="11"/>
        <v>0</v>
      </c>
      <c r="BV110" s="59">
        <f t="shared" si="21"/>
        <v>0</v>
      </c>
      <c r="BW110" s="59">
        <f t="shared" si="12"/>
        <v>0</v>
      </c>
      <c r="BX110" s="59">
        <f t="shared" si="13"/>
        <v>0</v>
      </c>
      <c r="BY110" s="59">
        <f t="shared" si="14"/>
        <v>0</v>
      </c>
      <c r="BZ110" s="59">
        <f t="shared" si="22"/>
        <v>0</v>
      </c>
      <c r="CA110" s="105"/>
    </row>
    <row r="111" spans="32:79" ht="13.5" customHeight="1">
      <c r="AF111" s="7"/>
      <c r="AG111" s="7"/>
      <c r="AH111" s="7"/>
      <c r="AI111" s="7"/>
      <c r="AJ111" s="7"/>
      <c r="BA111" s="98" t="s">
        <v>422</v>
      </c>
      <c r="BB111" s="123">
        <f>A31</f>
        <v>0</v>
      </c>
      <c r="BC111" s="123">
        <f>C31</f>
        <v>0</v>
      </c>
      <c r="BD111" s="124" t="str">
        <f>IF(AND(OR(($H$31="通常食"),($H$31="キッズ")),NOT(OR($M$31=0,$M$31=""))),$H$31,"")</f>
        <v/>
      </c>
      <c r="BE111" s="123" t="str">
        <f>IF($BG111="","",VLOOKUP($BH111,$BD$160:$BF$188,2,0))</f>
        <v/>
      </c>
      <c r="BF111" s="123" t="str">
        <f>IF($BG111="","",VLOOKUP($BH111,$BD$160:$BF$188,3,0))</f>
        <v/>
      </c>
      <c r="BG111" s="124" t="str">
        <f>IF(AND(OR(($H$31="通常食"),($H$31="キッズ")),NOT(OR($M$31=0,$M$31=""))),$M$31,"")</f>
        <v/>
      </c>
      <c r="BH111" s="113" t="str">
        <f t="shared" si="23"/>
        <v>0幼児</v>
      </c>
      <c r="BI111" s="113">
        <f>IF(OR(BG111="",BG111=0),0,43)</f>
        <v>0</v>
      </c>
      <c r="BJ111" s="98"/>
      <c r="BK111" s="98"/>
      <c r="BL111" s="59">
        <f t="shared" si="15"/>
        <v>0</v>
      </c>
      <c r="BM111" s="59">
        <f t="shared" si="16"/>
        <v>0</v>
      </c>
      <c r="BN111" s="59" t="e">
        <f t="shared" si="24"/>
        <v>#N/A</v>
      </c>
      <c r="BO111" s="59" t="e">
        <f t="shared" si="17"/>
        <v>#N/A</v>
      </c>
      <c r="BP111" s="59">
        <f t="shared" si="18"/>
        <v>0</v>
      </c>
      <c r="BQ111" s="113" t="e">
        <f t="shared" si="19"/>
        <v>#N/A</v>
      </c>
      <c r="BR111" s="113">
        <f t="shared" si="10"/>
        <v>0</v>
      </c>
      <c r="BS111" s="98"/>
      <c r="BT111" s="59">
        <f t="shared" si="20"/>
        <v>0</v>
      </c>
      <c r="BU111" s="59">
        <f t="shared" si="11"/>
        <v>0</v>
      </c>
      <c r="BV111" s="59">
        <f t="shared" si="21"/>
        <v>0</v>
      </c>
      <c r="BW111" s="59">
        <f t="shared" si="12"/>
        <v>0</v>
      </c>
      <c r="BX111" s="59">
        <f t="shared" si="13"/>
        <v>0</v>
      </c>
      <c r="BY111" s="59">
        <f t="shared" si="14"/>
        <v>0</v>
      </c>
      <c r="BZ111" s="59">
        <f t="shared" si="22"/>
        <v>0</v>
      </c>
      <c r="CA111" s="105"/>
    </row>
    <row r="112" spans="32:79" ht="13.5" customHeight="1">
      <c r="AF112" s="7"/>
      <c r="AG112" s="7"/>
      <c r="AH112" s="7"/>
      <c r="AI112" s="7"/>
      <c r="AJ112" s="7"/>
      <c r="BA112" s="98" t="s">
        <v>423</v>
      </c>
      <c r="BB112" s="123">
        <f>A31</f>
        <v>0</v>
      </c>
      <c r="BC112" s="123">
        <f>C31</f>
        <v>0</v>
      </c>
      <c r="BD112" s="124" t="str">
        <f>IF(AND(OR(($H$31="通常食"),($H$31="キッズ")),NOT(OR($N$31=0,$N$31=""))),$H$31,"")</f>
        <v/>
      </c>
      <c r="BE112" s="123" t="str">
        <f>IF($BG112="","",VLOOKUP($BH112,$BD$160:$BF$188,2,0))</f>
        <v/>
      </c>
      <c r="BF112" s="123" t="str">
        <f>IF($BG112="","",VLOOKUP($BH112,$BD$160:$BF$188,3,0))</f>
        <v/>
      </c>
      <c r="BG112" s="124" t="str">
        <f>IF(AND(OR(($H$31="通常食"),($H$31="キッズ")),NOT(OR($N$31=0,$N$31=""))),$N$31,"")</f>
        <v/>
      </c>
      <c r="BH112" s="113" t="str">
        <f t="shared" si="23"/>
        <v>0小学生</v>
      </c>
      <c r="BI112" s="113">
        <f>IF(OR(BG112="",BG112=0),0,42)</f>
        <v>0</v>
      </c>
      <c r="BJ112" s="98"/>
      <c r="BK112" s="98"/>
      <c r="BL112" s="59">
        <f t="shared" si="15"/>
        <v>0</v>
      </c>
      <c r="BM112" s="59">
        <f t="shared" si="16"/>
        <v>0</v>
      </c>
      <c r="BN112" s="59" t="e">
        <f t="shared" si="24"/>
        <v>#N/A</v>
      </c>
      <c r="BO112" s="59" t="e">
        <f t="shared" si="17"/>
        <v>#N/A</v>
      </c>
      <c r="BP112" s="59">
        <f t="shared" si="18"/>
        <v>0</v>
      </c>
      <c r="BQ112" s="113" t="e">
        <f t="shared" si="19"/>
        <v>#N/A</v>
      </c>
      <c r="BR112" s="113">
        <f t="shared" si="10"/>
        <v>0</v>
      </c>
      <c r="BS112" s="98"/>
      <c r="BT112" s="59">
        <f t="shared" si="20"/>
        <v>0</v>
      </c>
      <c r="BU112" s="59">
        <f t="shared" si="11"/>
        <v>0</v>
      </c>
      <c r="BV112" s="59">
        <f>IF(BU112="朝　食","朝",(IF(BU112="昼　食","昼",(IF(BU112="夕　食","夕",0)))))</f>
        <v>0</v>
      </c>
      <c r="BW112" s="59">
        <f t="shared" si="12"/>
        <v>0</v>
      </c>
      <c r="BX112" s="59">
        <f t="shared" si="13"/>
        <v>0</v>
      </c>
      <c r="BY112" s="59">
        <f t="shared" si="14"/>
        <v>0</v>
      </c>
      <c r="BZ112" s="59">
        <f t="shared" si="22"/>
        <v>0</v>
      </c>
      <c r="CA112" s="105"/>
    </row>
    <row r="113" spans="32:79" ht="13.5" customHeight="1" thickBot="1">
      <c r="AF113" s="7"/>
      <c r="AG113" s="7"/>
      <c r="AH113" s="7"/>
      <c r="AI113" s="7"/>
      <c r="AJ113" s="7"/>
      <c r="BA113" s="125" t="s">
        <v>425</v>
      </c>
      <c r="BB113" s="126">
        <f>A31</f>
        <v>0</v>
      </c>
      <c r="BC113" s="126">
        <f>C31</f>
        <v>0</v>
      </c>
      <c r="BD113" s="124" t="str">
        <f>IF(AND(OR(($H$31="通常食"),($H$31="キッズ")),NOT(OR($P$31=0,$P$31=""))),$H$31,"")</f>
        <v/>
      </c>
      <c r="BE113" s="123" t="str">
        <f>IF($BG113="","",VLOOKUP($BH113,$BD$160:$BF$188,2,0))</f>
        <v/>
      </c>
      <c r="BF113" s="123" t="str">
        <f>IF($BG113="","",VLOOKUP($BH113,$BD$160:$BF$188,3,0))</f>
        <v/>
      </c>
      <c r="BG113" s="124" t="str">
        <f>IF(AND(OR(($H$31="通常食"),($H$31="キッズ")),NOT(OR($P$31=0,$P$31=""))),$P$31,"")</f>
        <v/>
      </c>
      <c r="BH113" s="113" t="str">
        <f t="shared" si="23"/>
        <v>0中学生以上</v>
      </c>
      <c r="BI113" s="113">
        <f>IF(OR(BG113="",BG113=0),0,41)</f>
        <v>0</v>
      </c>
      <c r="BJ113" s="98"/>
      <c r="BK113" s="98"/>
      <c r="BL113" s="59">
        <f t="shared" si="15"/>
        <v>0</v>
      </c>
      <c r="BM113" s="59">
        <f t="shared" si="16"/>
        <v>0</v>
      </c>
      <c r="BN113" s="59" t="e">
        <f t="shared" si="24"/>
        <v>#N/A</v>
      </c>
      <c r="BO113" s="59" t="e">
        <f t="shared" si="17"/>
        <v>#N/A</v>
      </c>
      <c r="BP113" s="59">
        <f t="shared" si="18"/>
        <v>0</v>
      </c>
      <c r="BQ113" s="113" t="e">
        <f t="shared" si="19"/>
        <v>#N/A</v>
      </c>
      <c r="BR113" s="113">
        <f t="shared" si="10"/>
        <v>0</v>
      </c>
      <c r="BS113" s="98"/>
      <c r="BT113" s="59">
        <f t="shared" si="20"/>
        <v>0</v>
      </c>
      <c r="BU113" s="59">
        <f t="shared" si="11"/>
        <v>0</v>
      </c>
      <c r="BV113" s="59">
        <f t="shared" si="21"/>
        <v>0</v>
      </c>
      <c r="BW113" s="59">
        <f t="shared" si="12"/>
        <v>0</v>
      </c>
      <c r="BX113" s="59">
        <f t="shared" si="13"/>
        <v>0</v>
      </c>
      <c r="BY113" s="59">
        <f t="shared" si="14"/>
        <v>0</v>
      </c>
      <c r="BZ113" s="59">
        <f t="shared" si="22"/>
        <v>0</v>
      </c>
      <c r="CA113" s="105"/>
    </row>
    <row r="114" spans="32:79" ht="13.5" customHeight="1">
      <c r="AF114" s="7"/>
      <c r="AG114" s="7"/>
      <c r="AH114" s="7"/>
      <c r="AI114" s="7"/>
      <c r="AJ114" s="7"/>
      <c r="BA114" s="98" t="s">
        <v>424</v>
      </c>
      <c r="BB114" s="120">
        <f>A32</f>
        <v>0</v>
      </c>
      <c r="BC114" s="120">
        <f>C32</f>
        <v>0</v>
      </c>
      <c r="BD114" s="120">
        <f>IF(AND(NOT($H$32="通常食"),NOT($H$32="キッズ")),$H$32,"")</f>
        <v>0</v>
      </c>
      <c r="BE114" s="120" t="e">
        <f>IF(NOT($BD114=""),VLOOKUP($BD114,$BD$187:$BF$219,2,0),"")</f>
        <v>#N/A</v>
      </c>
      <c r="BF114" s="120" t="e">
        <f>IF(NOT($BD114=""),VLOOKUP($BD114,$BD$188:$BF$219,3,0),"")</f>
        <v>#N/A</v>
      </c>
      <c r="BG114" s="122">
        <f>IF(AND(NOT($H$32="通常食"),NOT($H$32="キッズ")),$R$32,"")</f>
        <v>0</v>
      </c>
      <c r="BH114" s="113"/>
      <c r="BI114" s="113">
        <f>IF(OR(BG114="",BG114=0),0,40)</f>
        <v>0</v>
      </c>
      <c r="BJ114" s="98"/>
      <c r="BK114" s="98"/>
      <c r="BL114" s="59">
        <f t="shared" si="15"/>
        <v>0</v>
      </c>
      <c r="BM114" s="59">
        <f t="shared" si="16"/>
        <v>0</v>
      </c>
      <c r="BN114" s="59" t="e">
        <f t="shared" si="24"/>
        <v>#N/A</v>
      </c>
      <c r="BO114" s="59" t="e">
        <f t="shared" si="17"/>
        <v>#N/A</v>
      </c>
      <c r="BP114" s="59">
        <f t="shared" si="18"/>
        <v>0</v>
      </c>
      <c r="BQ114" s="113" t="e">
        <f t="shared" si="19"/>
        <v>#N/A</v>
      </c>
      <c r="BR114" s="113">
        <f t="shared" si="10"/>
        <v>0</v>
      </c>
      <c r="BS114" s="98"/>
      <c r="BT114" s="59">
        <f t="shared" si="20"/>
        <v>0</v>
      </c>
      <c r="BU114" s="59">
        <f t="shared" si="11"/>
        <v>0</v>
      </c>
      <c r="BV114" s="59">
        <f t="shared" si="21"/>
        <v>0</v>
      </c>
      <c r="BW114" s="59">
        <f t="shared" si="12"/>
        <v>0</v>
      </c>
      <c r="BX114" s="59">
        <f t="shared" si="13"/>
        <v>0</v>
      </c>
      <c r="BY114" s="59">
        <f t="shared" si="14"/>
        <v>0</v>
      </c>
      <c r="BZ114" s="59">
        <f t="shared" si="22"/>
        <v>0</v>
      </c>
      <c r="CA114" s="105"/>
    </row>
    <row r="115" spans="32:79" ht="13.5" customHeight="1">
      <c r="AF115" s="7"/>
      <c r="AG115" s="7"/>
      <c r="AH115" s="7"/>
      <c r="AI115" s="7"/>
      <c r="AJ115" s="7"/>
      <c r="BA115" s="98" t="s">
        <v>422</v>
      </c>
      <c r="BB115" s="123">
        <f>A32</f>
        <v>0</v>
      </c>
      <c r="BC115" s="123">
        <f>C32</f>
        <v>0</v>
      </c>
      <c r="BD115" s="124" t="str">
        <f>IF(AND(OR(($H$32="通常食"),($H$32="キッズ")),NOT(OR($L$32=0,$L$32=""))),$H$32,"")</f>
        <v/>
      </c>
      <c r="BE115" s="123" t="str">
        <f>IF($BG115="","",VLOOKUP($BH115,$BD$160:$BF$188,2,0))</f>
        <v/>
      </c>
      <c r="BF115" s="123" t="str">
        <f>IF($BG115="","",VLOOKUP($BH115,$BD$160:$BF$188,3,0))</f>
        <v/>
      </c>
      <c r="BG115" s="124" t="str">
        <f>IF(AND(OR(($H$32="通常食"),($H$32="キッズ")),NOT(OR($L$32=0,$L$32=""))),$L$32,"")</f>
        <v/>
      </c>
      <c r="BH115" s="113" t="str">
        <f t="shared" si="23"/>
        <v>0幼児</v>
      </c>
      <c r="BI115" s="113">
        <f>IF(OR(BG115="",BG115=0),0,39)</f>
        <v>0</v>
      </c>
      <c r="BJ115" s="98"/>
      <c r="BK115" s="98"/>
      <c r="BL115" s="59">
        <f t="shared" si="15"/>
        <v>0</v>
      </c>
      <c r="BM115" s="59">
        <f t="shared" si="16"/>
        <v>0</v>
      </c>
      <c r="BN115" s="59" t="e">
        <f t="shared" si="24"/>
        <v>#N/A</v>
      </c>
      <c r="BO115" s="59" t="e">
        <f t="shared" si="17"/>
        <v>#N/A</v>
      </c>
      <c r="BP115" s="59">
        <f t="shared" si="18"/>
        <v>0</v>
      </c>
      <c r="BQ115" s="113" t="e">
        <f t="shared" si="19"/>
        <v>#N/A</v>
      </c>
      <c r="BR115" s="113">
        <f t="shared" si="10"/>
        <v>0</v>
      </c>
      <c r="BS115" s="98"/>
      <c r="BT115" s="59">
        <f t="shared" si="20"/>
        <v>0</v>
      </c>
      <c r="BU115" s="59">
        <f t="shared" si="11"/>
        <v>0</v>
      </c>
      <c r="BV115" s="59">
        <f t="shared" si="21"/>
        <v>0</v>
      </c>
      <c r="BW115" s="59">
        <f t="shared" si="12"/>
        <v>0</v>
      </c>
      <c r="BX115" s="59">
        <f t="shared" si="13"/>
        <v>0</v>
      </c>
      <c r="BY115" s="59">
        <f t="shared" si="14"/>
        <v>0</v>
      </c>
      <c r="BZ115" s="59">
        <f t="shared" si="22"/>
        <v>0</v>
      </c>
      <c r="CA115" s="105"/>
    </row>
    <row r="116" spans="32:79" ht="13.5" customHeight="1">
      <c r="AF116" s="7"/>
      <c r="AG116" s="7"/>
      <c r="AH116" s="7"/>
      <c r="AI116" s="7"/>
      <c r="AJ116" s="7"/>
      <c r="BA116" s="98" t="s">
        <v>423</v>
      </c>
      <c r="BB116" s="123">
        <f>A32</f>
        <v>0</v>
      </c>
      <c r="BC116" s="123">
        <f>C32</f>
        <v>0</v>
      </c>
      <c r="BD116" s="124" t="str">
        <f>IF(AND(OR(($H$32="通常食"),($H$32="キッズ")),NOT(OR($N$32=0,$N$32=""))),$H$32,"")</f>
        <v/>
      </c>
      <c r="BE116" s="123" t="str">
        <f>IF($BG116="","",VLOOKUP($BH116,$BD$160:$BF$188,2,0))</f>
        <v/>
      </c>
      <c r="BF116" s="123" t="str">
        <f>IF($BG116="","",VLOOKUP($BH116,$BD$160:$BF$188,3,0))</f>
        <v/>
      </c>
      <c r="BG116" s="124" t="str">
        <f>IF(AND(OR(($H$32="通常食"),($H$32="キッズ")),NOT(OR($N$32=0,$N$32=""))),$N$32,"")</f>
        <v/>
      </c>
      <c r="BH116" s="113" t="str">
        <f t="shared" si="23"/>
        <v>0小学生</v>
      </c>
      <c r="BI116" s="113">
        <f>IF(OR(BG116="",BG116=0),0,38)</f>
        <v>0</v>
      </c>
      <c r="BJ116" s="98"/>
      <c r="BK116" s="98"/>
      <c r="BL116" s="59">
        <f t="shared" si="15"/>
        <v>0</v>
      </c>
      <c r="BM116" s="59">
        <f t="shared" si="16"/>
        <v>0</v>
      </c>
      <c r="BN116" s="59" t="e">
        <f t="shared" si="24"/>
        <v>#N/A</v>
      </c>
      <c r="BO116" s="59" t="e">
        <f t="shared" si="17"/>
        <v>#N/A</v>
      </c>
      <c r="BP116" s="59">
        <f t="shared" si="18"/>
        <v>0</v>
      </c>
      <c r="BQ116" s="113" t="e">
        <f t="shared" si="19"/>
        <v>#N/A</v>
      </c>
      <c r="BR116" s="113">
        <f t="shared" si="10"/>
        <v>0</v>
      </c>
      <c r="BS116" s="98"/>
      <c r="BT116" s="59">
        <f t="shared" si="20"/>
        <v>0</v>
      </c>
      <c r="BU116" s="59">
        <f t="shared" si="11"/>
        <v>0</v>
      </c>
      <c r="BV116" s="59">
        <f t="shared" si="21"/>
        <v>0</v>
      </c>
      <c r="BW116" s="59">
        <f t="shared" si="12"/>
        <v>0</v>
      </c>
      <c r="BX116" s="59">
        <f t="shared" si="13"/>
        <v>0</v>
      </c>
      <c r="BY116" s="59">
        <f t="shared" si="14"/>
        <v>0</v>
      </c>
      <c r="BZ116" s="59">
        <f t="shared" si="22"/>
        <v>0</v>
      </c>
      <c r="CA116" s="105"/>
    </row>
    <row r="117" spans="32:79" ht="13.5" customHeight="1" thickBot="1">
      <c r="AF117" s="7"/>
      <c r="AG117" s="7"/>
      <c r="AH117" s="7"/>
      <c r="AI117" s="7"/>
      <c r="AJ117" s="7"/>
      <c r="BA117" s="125" t="s">
        <v>425</v>
      </c>
      <c r="BB117" s="126">
        <f>A32</f>
        <v>0</v>
      </c>
      <c r="BC117" s="126">
        <f>C32</f>
        <v>0</v>
      </c>
      <c r="BD117" s="124" t="str">
        <f>IF(AND(OR(($H$32="通常食"),($H$32="キッズ")),NOT(OR($P$32=0,$P$32=""))),$H$32,"")</f>
        <v/>
      </c>
      <c r="BE117" s="123" t="str">
        <f>IF($BG117="","",VLOOKUP($BH117,$BD$160:$BF$188,2,0))</f>
        <v/>
      </c>
      <c r="BF117" s="123" t="str">
        <f>IF($BG117="","",VLOOKUP($BH117,$BD$160:$BF$188,3,0))</f>
        <v/>
      </c>
      <c r="BG117" s="124" t="str">
        <f>IF(AND(OR(($H$32="通常食"),($H$32="キッズ")),NOT(OR($P$32=0,$P$32=""))),$P$32,"")</f>
        <v/>
      </c>
      <c r="BH117" s="113" t="str">
        <f t="shared" si="23"/>
        <v>0中学生以上</v>
      </c>
      <c r="BI117" s="113">
        <f>IF(OR(BG117="",BG117=0),0,37)</f>
        <v>0</v>
      </c>
      <c r="BJ117" s="98"/>
      <c r="BK117" s="98"/>
      <c r="BL117" s="59">
        <f t="shared" si="15"/>
        <v>0</v>
      </c>
      <c r="BM117" s="59">
        <f t="shared" si="16"/>
        <v>0</v>
      </c>
      <c r="BN117" s="59" t="e">
        <f t="shared" si="24"/>
        <v>#N/A</v>
      </c>
      <c r="BO117" s="59" t="e">
        <f t="shared" si="17"/>
        <v>#N/A</v>
      </c>
      <c r="BP117" s="59">
        <f t="shared" si="18"/>
        <v>0</v>
      </c>
      <c r="BQ117" s="113" t="e">
        <f t="shared" si="19"/>
        <v>#N/A</v>
      </c>
      <c r="BR117" s="113">
        <f t="shared" si="10"/>
        <v>0</v>
      </c>
      <c r="BS117" s="98"/>
      <c r="BT117" s="59">
        <f t="shared" si="20"/>
        <v>0</v>
      </c>
      <c r="BU117" s="59">
        <f t="shared" si="11"/>
        <v>0</v>
      </c>
      <c r="BV117" s="59">
        <f t="shared" si="21"/>
        <v>0</v>
      </c>
      <c r="BW117" s="59">
        <f t="shared" si="12"/>
        <v>0</v>
      </c>
      <c r="BX117" s="59">
        <f t="shared" si="13"/>
        <v>0</v>
      </c>
      <c r="BY117" s="59">
        <f t="shared" si="14"/>
        <v>0</v>
      </c>
      <c r="BZ117" s="59">
        <f t="shared" si="22"/>
        <v>0</v>
      </c>
      <c r="CA117" s="105"/>
    </row>
    <row r="118" spans="32:79" ht="13.5" customHeight="1">
      <c r="AF118" s="7"/>
      <c r="AG118" s="7"/>
      <c r="AH118" s="7"/>
      <c r="AI118" s="7"/>
      <c r="AJ118" s="7"/>
      <c r="BA118" s="98" t="s">
        <v>424</v>
      </c>
      <c r="BB118" s="120">
        <f>A33</f>
        <v>0</v>
      </c>
      <c r="BC118" s="120">
        <f>C33</f>
        <v>0</v>
      </c>
      <c r="BD118" s="120">
        <f>IF(AND(NOT($H$33="通常食"),NOT($H$33="キッズ")),$H$33,"")</f>
        <v>0</v>
      </c>
      <c r="BE118" s="120" t="e">
        <f>IF(NOT($BD118=""),VLOOKUP($BD118,$BD$188:$BF$219,2,0),"")</f>
        <v>#N/A</v>
      </c>
      <c r="BF118" s="120" t="e">
        <f>IF(NOT($BD118=""),VLOOKUP($BD118,$BD$188:$BF$219,3,0),"")</f>
        <v>#N/A</v>
      </c>
      <c r="BG118" s="122">
        <f>IF(AND(NOT($H$33="通常食"),NOT($H$33="キッズ")),$R$33,"")</f>
        <v>0</v>
      </c>
      <c r="BH118" s="113"/>
      <c r="BI118" s="113">
        <f>IF(OR(BG118="",BG118=0),0,36)</f>
        <v>0</v>
      </c>
      <c r="BJ118" s="98"/>
      <c r="BK118" s="98"/>
      <c r="BL118" s="59">
        <f t="shared" si="15"/>
        <v>0</v>
      </c>
      <c r="BM118" s="59">
        <f t="shared" si="16"/>
        <v>0</v>
      </c>
      <c r="BN118" s="59" t="e">
        <f t="shared" si="24"/>
        <v>#N/A</v>
      </c>
      <c r="BO118" s="59" t="e">
        <f t="shared" si="17"/>
        <v>#N/A</v>
      </c>
      <c r="BP118" s="59">
        <f t="shared" si="18"/>
        <v>0</v>
      </c>
      <c r="BQ118" s="113" t="e">
        <f t="shared" si="19"/>
        <v>#N/A</v>
      </c>
      <c r="BR118" s="113">
        <f t="shared" si="10"/>
        <v>0</v>
      </c>
      <c r="BS118" s="98"/>
      <c r="BT118" s="59">
        <f t="shared" si="20"/>
        <v>0</v>
      </c>
      <c r="BU118" s="59">
        <f t="shared" si="11"/>
        <v>0</v>
      </c>
      <c r="BV118" s="59">
        <f t="shared" si="21"/>
        <v>0</v>
      </c>
      <c r="BW118" s="59">
        <f t="shared" si="12"/>
        <v>0</v>
      </c>
      <c r="BX118" s="59">
        <f t="shared" si="13"/>
        <v>0</v>
      </c>
      <c r="BY118" s="59">
        <f t="shared" si="14"/>
        <v>0</v>
      </c>
      <c r="BZ118" s="59">
        <f t="shared" si="22"/>
        <v>0</v>
      </c>
      <c r="CA118" s="105"/>
    </row>
    <row r="119" spans="32:79" ht="13.5" customHeight="1">
      <c r="AF119" s="7"/>
      <c r="AG119" s="7"/>
      <c r="AH119" s="7"/>
      <c r="AI119" s="7"/>
      <c r="AJ119" s="7"/>
      <c r="BA119" s="98" t="s">
        <v>422</v>
      </c>
      <c r="BB119" s="123">
        <f>A33</f>
        <v>0</v>
      </c>
      <c r="BC119" s="123">
        <f>C33</f>
        <v>0</v>
      </c>
      <c r="BD119" s="124" t="str">
        <f>IF(AND(OR(($H$33="通常食"),($H$33="キッズ")),NOT(OR($L$33=0,$L$33=""))),$H$33,"")</f>
        <v/>
      </c>
      <c r="BE119" s="123" t="str">
        <f>IF($BG119="","",VLOOKUP($BH119,$BD$160:$BF$188,2,0))</f>
        <v/>
      </c>
      <c r="BF119" s="123" t="str">
        <f>IF($BG119="","",VLOOKUP($BH119,$BD$160:$BF$188,3,0))</f>
        <v/>
      </c>
      <c r="BG119" s="124" t="str">
        <f>IF(AND(OR(($H$33="通常食"),($H$33="キッズ")),NOT(OR($L$33=0,$L$33=""))),$L$33,"")</f>
        <v/>
      </c>
      <c r="BH119" s="113" t="str">
        <f t="shared" si="23"/>
        <v>0幼児</v>
      </c>
      <c r="BI119" s="113">
        <f>IF(OR(BG119="",BG119=0),0,35)</f>
        <v>0</v>
      </c>
      <c r="BJ119" s="98"/>
      <c r="BK119" s="98"/>
      <c r="BL119" s="59">
        <f t="shared" si="15"/>
        <v>0</v>
      </c>
      <c r="BM119" s="59">
        <f t="shared" si="16"/>
        <v>0</v>
      </c>
      <c r="BN119" s="59" t="e">
        <f t="shared" si="24"/>
        <v>#N/A</v>
      </c>
      <c r="BO119" s="59" t="e">
        <f t="shared" si="17"/>
        <v>#N/A</v>
      </c>
      <c r="BP119" s="59">
        <f t="shared" si="18"/>
        <v>0</v>
      </c>
      <c r="BQ119" s="113" t="e">
        <f t="shared" si="19"/>
        <v>#N/A</v>
      </c>
      <c r="BR119" s="113">
        <f t="shared" si="10"/>
        <v>0</v>
      </c>
      <c r="BS119" s="98"/>
      <c r="BT119" s="59">
        <f t="shared" si="20"/>
        <v>0</v>
      </c>
      <c r="BU119" s="59">
        <f t="shared" si="11"/>
        <v>0</v>
      </c>
      <c r="BV119" s="59">
        <f t="shared" si="21"/>
        <v>0</v>
      </c>
      <c r="BW119" s="59">
        <f t="shared" si="12"/>
        <v>0</v>
      </c>
      <c r="BX119" s="59">
        <f t="shared" si="13"/>
        <v>0</v>
      </c>
      <c r="BY119" s="59">
        <f t="shared" si="14"/>
        <v>0</v>
      </c>
      <c r="BZ119" s="59">
        <f t="shared" si="22"/>
        <v>0</v>
      </c>
      <c r="CA119" s="105"/>
    </row>
    <row r="120" spans="32:79" ht="13.5" customHeight="1">
      <c r="AF120" s="7"/>
      <c r="AG120" s="7"/>
      <c r="AH120" s="7"/>
      <c r="AI120" s="7"/>
      <c r="AJ120" s="7"/>
      <c r="BA120" s="98" t="s">
        <v>423</v>
      </c>
      <c r="BB120" s="123">
        <f>A33</f>
        <v>0</v>
      </c>
      <c r="BC120" s="123">
        <f>C33</f>
        <v>0</v>
      </c>
      <c r="BD120" s="124" t="str">
        <f>IF(AND(OR(($H$33="通常食"),($H$33="キッズ")),NOT(OR($N$33=0,$N$33=""))),$H$33,"")</f>
        <v/>
      </c>
      <c r="BE120" s="123" t="str">
        <f>IF($BG120="","",VLOOKUP($BH120,$BD$160:$BF$188,2,0))</f>
        <v/>
      </c>
      <c r="BF120" s="123" t="str">
        <f>IF($BG120="","",VLOOKUP($BH120,$BD$160:$BF$188,3,0))</f>
        <v/>
      </c>
      <c r="BG120" s="124" t="str">
        <f>IF(AND(OR(($H$33="通常食"),($H$33="キッズ")),NOT(OR($N$33=0,$N$33=""))),$N$33,"")</f>
        <v/>
      </c>
      <c r="BH120" s="113" t="str">
        <f t="shared" si="23"/>
        <v>0小学生</v>
      </c>
      <c r="BI120" s="113">
        <f>IF(OR(BG120="",BG120=0),0,34)</f>
        <v>0</v>
      </c>
      <c r="BJ120" s="98"/>
      <c r="BK120" s="98"/>
      <c r="BL120" s="59">
        <f t="shared" si="15"/>
        <v>0</v>
      </c>
      <c r="BM120" s="59">
        <f t="shared" si="16"/>
        <v>0</v>
      </c>
      <c r="BN120" s="59" t="e">
        <f t="shared" si="24"/>
        <v>#N/A</v>
      </c>
      <c r="BO120" s="59" t="e">
        <f t="shared" si="17"/>
        <v>#N/A</v>
      </c>
      <c r="BP120" s="59">
        <f t="shared" si="18"/>
        <v>0</v>
      </c>
      <c r="BQ120" s="113" t="e">
        <f t="shared" si="19"/>
        <v>#N/A</v>
      </c>
      <c r="BR120" s="113">
        <f t="shared" si="10"/>
        <v>0</v>
      </c>
      <c r="BS120" s="98"/>
      <c r="BT120" s="59">
        <f t="shared" si="20"/>
        <v>0</v>
      </c>
      <c r="BU120" s="59">
        <f t="shared" si="11"/>
        <v>0</v>
      </c>
      <c r="BV120" s="59">
        <f t="shared" si="21"/>
        <v>0</v>
      </c>
      <c r="BW120" s="59">
        <f t="shared" si="12"/>
        <v>0</v>
      </c>
      <c r="BX120" s="59">
        <f t="shared" si="13"/>
        <v>0</v>
      </c>
      <c r="BY120" s="59">
        <f t="shared" si="14"/>
        <v>0</v>
      </c>
      <c r="BZ120" s="59">
        <f t="shared" si="22"/>
        <v>0</v>
      </c>
      <c r="CA120" s="105"/>
    </row>
    <row r="121" spans="32:79" ht="13.5" customHeight="1" thickBot="1">
      <c r="AF121" s="7"/>
      <c r="AG121" s="7"/>
      <c r="AH121" s="7"/>
      <c r="AI121" s="7"/>
      <c r="AJ121" s="7"/>
      <c r="BA121" s="125" t="s">
        <v>425</v>
      </c>
      <c r="BB121" s="126">
        <f>A33</f>
        <v>0</v>
      </c>
      <c r="BC121" s="126">
        <f>C33</f>
        <v>0</v>
      </c>
      <c r="BD121" s="124" t="str">
        <f>IF(AND(OR(($H$33="通常食"),($H$33="キッズ")),NOT(OR($P$33=0,$P$33=""))),$H$33,"")</f>
        <v/>
      </c>
      <c r="BE121" s="123" t="str">
        <f>IF($BG121="","",VLOOKUP($BH121,$BD$160:$BF$188,2,0))</f>
        <v/>
      </c>
      <c r="BF121" s="123" t="str">
        <f>IF($BG121="","",VLOOKUP($BH121,$BD$160:$BF$188,3,0))</f>
        <v/>
      </c>
      <c r="BG121" s="124" t="str">
        <f>IF(AND(OR(($H$33="通常食"),($H$33="キッズ")),NOT(OR($P$33=0,$P$33=""))),$P$33,"")</f>
        <v/>
      </c>
      <c r="BH121" s="113" t="str">
        <f t="shared" si="23"/>
        <v>0中学生以上</v>
      </c>
      <c r="BI121" s="113">
        <f>IF(OR(BG121="",BG121=0),0,33)</f>
        <v>0</v>
      </c>
      <c r="BJ121" s="98"/>
      <c r="BK121" s="98"/>
      <c r="BL121" s="59">
        <f t="shared" si="15"/>
        <v>0</v>
      </c>
      <c r="BM121" s="59">
        <f t="shared" si="16"/>
        <v>0</v>
      </c>
      <c r="BN121" s="59" t="e">
        <f t="shared" si="24"/>
        <v>#N/A</v>
      </c>
      <c r="BO121" s="59" t="e">
        <f t="shared" si="17"/>
        <v>#N/A</v>
      </c>
      <c r="BP121" s="59">
        <f t="shared" si="18"/>
        <v>0</v>
      </c>
      <c r="BQ121" s="113" t="e">
        <f t="shared" si="19"/>
        <v>#N/A</v>
      </c>
      <c r="BR121" s="113">
        <f t="shared" si="10"/>
        <v>0</v>
      </c>
      <c r="BS121" s="98"/>
      <c r="BT121" s="59">
        <f t="shared" si="20"/>
        <v>0</v>
      </c>
      <c r="BU121" s="59">
        <f t="shared" si="11"/>
        <v>0</v>
      </c>
      <c r="BV121" s="59">
        <f t="shared" si="21"/>
        <v>0</v>
      </c>
      <c r="BW121" s="59">
        <f t="shared" si="12"/>
        <v>0</v>
      </c>
      <c r="BX121" s="59">
        <f t="shared" si="13"/>
        <v>0</v>
      </c>
      <c r="BY121" s="59">
        <f t="shared" si="14"/>
        <v>0</v>
      </c>
      <c r="BZ121" s="59">
        <f t="shared" si="22"/>
        <v>0</v>
      </c>
      <c r="CA121" s="105"/>
    </row>
    <row r="122" spans="32:79" ht="13.5" customHeight="1">
      <c r="AF122" s="7"/>
      <c r="AG122" s="7"/>
      <c r="AH122" s="7"/>
      <c r="AI122" s="7"/>
      <c r="AJ122" s="7"/>
      <c r="BA122" s="98" t="s">
        <v>424</v>
      </c>
      <c r="BB122" s="120">
        <f>A34</f>
        <v>0</v>
      </c>
      <c r="BC122" s="120">
        <f>C34</f>
        <v>0</v>
      </c>
      <c r="BD122" s="120">
        <f>IF(AND(NOT($H$34="通常食"),NOT($H$34="キッズ")),$H$34,"")</f>
        <v>0</v>
      </c>
      <c r="BE122" s="120" t="e">
        <f>IF(NOT($BD122=""),VLOOKUP($BD122,$BD$188:$BF$219,2,0),"")</f>
        <v>#N/A</v>
      </c>
      <c r="BF122" s="120" t="e">
        <f>IF(NOT($BD122=""),VLOOKUP($BD122,$BD$188:$BF$219,3,0),"")</f>
        <v>#N/A</v>
      </c>
      <c r="BG122" s="122">
        <f>IF(AND(NOT($H$34="通常食"),NOT($H$34="キッズ")),$R$34,"")</f>
        <v>0</v>
      </c>
      <c r="BH122" s="113"/>
      <c r="BI122" s="113">
        <f>IF(OR(BG122="",BG122=0),0,32)</f>
        <v>0</v>
      </c>
      <c r="BJ122" s="98"/>
      <c r="BK122" s="98"/>
      <c r="BL122" s="59">
        <f t="shared" si="15"/>
        <v>0</v>
      </c>
      <c r="BM122" s="59">
        <f t="shared" si="16"/>
        <v>0</v>
      </c>
      <c r="BN122" s="59" t="e">
        <f t="shared" si="24"/>
        <v>#N/A</v>
      </c>
      <c r="BO122" s="59" t="e">
        <f t="shared" si="17"/>
        <v>#N/A</v>
      </c>
      <c r="BP122" s="59">
        <f t="shared" si="18"/>
        <v>0</v>
      </c>
      <c r="BQ122" s="113" t="e">
        <f t="shared" si="19"/>
        <v>#N/A</v>
      </c>
      <c r="BR122" s="113">
        <f t="shared" si="10"/>
        <v>0</v>
      </c>
      <c r="BS122" s="98"/>
      <c r="BT122" s="59">
        <f t="shared" si="20"/>
        <v>0</v>
      </c>
      <c r="BU122" s="59">
        <f t="shared" si="20"/>
        <v>0</v>
      </c>
      <c r="BV122" s="59">
        <f t="shared" si="21"/>
        <v>0</v>
      </c>
      <c r="BW122" s="59">
        <f t="shared" si="12"/>
        <v>0</v>
      </c>
      <c r="BX122" s="59">
        <f t="shared" si="13"/>
        <v>0</v>
      </c>
      <c r="BY122" s="59">
        <f t="shared" si="14"/>
        <v>0</v>
      </c>
      <c r="BZ122" s="59">
        <f t="shared" si="22"/>
        <v>0</v>
      </c>
      <c r="CA122" s="105"/>
    </row>
    <row r="123" spans="32:79" ht="13.5" customHeight="1">
      <c r="AF123" s="7"/>
      <c r="AG123" s="7"/>
      <c r="AH123" s="7"/>
      <c r="AI123" s="7"/>
      <c r="AJ123" s="7"/>
      <c r="BA123" s="98" t="s">
        <v>422</v>
      </c>
      <c r="BB123" s="123">
        <f>A34</f>
        <v>0</v>
      </c>
      <c r="BC123" s="123">
        <f>C34</f>
        <v>0</v>
      </c>
      <c r="BD123" s="124" t="str">
        <f>IF(AND(OR(($H$34="通常食"),($H$34="キッズ")),NOT(OR($L$34=0,$L$34=""))),$H$34,"")</f>
        <v/>
      </c>
      <c r="BE123" s="123" t="str">
        <f>IF($BG123="","",VLOOKUP($BH123,$BD$160:$BF$188,2,0))</f>
        <v/>
      </c>
      <c r="BF123" s="123" t="str">
        <f>IF($BG123="","",VLOOKUP($BH123,$BD$160:$BF$188,3,0))</f>
        <v/>
      </c>
      <c r="BG123" s="124" t="str">
        <f>IF(AND(OR(($H$34="通常食"),($H$34="キッズ")),NOT(OR($L$34=0,$L$34=""))),$L$34,"")</f>
        <v/>
      </c>
      <c r="BH123" s="113" t="str">
        <f t="shared" si="23"/>
        <v>0幼児</v>
      </c>
      <c r="BI123" s="113">
        <f>IF(OR(BG123="",BG123=0),0,31)</f>
        <v>0</v>
      </c>
      <c r="BJ123" s="98"/>
      <c r="BK123" s="98"/>
      <c r="BL123" s="59">
        <f t="shared" si="15"/>
        <v>0</v>
      </c>
      <c r="BM123" s="59">
        <f t="shared" si="16"/>
        <v>0</v>
      </c>
      <c r="BN123" s="59" t="e">
        <f t="shared" si="24"/>
        <v>#N/A</v>
      </c>
      <c r="BO123" s="59" t="e">
        <f t="shared" si="17"/>
        <v>#N/A</v>
      </c>
      <c r="BP123" s="59">
        <f t="shared" si="18"/>
        <v>0</v>
      </c>
      <c r="BQ123" s="113" t="e">
        <f t="shared" si="19"/>
        <v>#N/A</v>
      </c>
      <c r="BR123" s="113">
        <f t="shared" si="10"/>
        <v>0</v>
      </c>
      <c r="BS123" s="98"/>
      <c r="BT123" s="59">
        <f t="shared" si="20"/>
        <v>0</v>
      </c>
      <c r="BU123" s="59">
        <f t="shared" si="20"/>
        <v>0</v>
      </c>
      <c r="BV123" s="59">
        <f t="shared" si="21"/>
        <v>0</v>
      </c>
      <c r="BW123" s="59">
        <f t="shared" si="12"/>
        <v>0</v>
      </c>
      <c r="BX123" s="59">
        <f t="shared" si="13"/>
        <v>0</v>
      </c>
      <c r="BY123" s="59">
        <f t="shared" si="14"/>
        <v>0</v>
      </c>
      <c r="BZ123" s="59">
        <f t="shared" si="22"/>
        <v>0</v>
      </c>
      <c r="CA123" s="105">
        <f>LARGE($BI$106:$BI$153,ROW(I18))</f>
        <v>0</v>
      </c>
    </row>
    <row r="124" spans="32:79" ht="13.5" customHeight="1">
      <c r="AF124" s="1472"/>
      <c r="AG124" s="1472"/>
      <c r="AH124" s="1472"/>
      <c r="AI124" s="1472"/>
      <c r="AJ124" s="1472"/>
      <c r="BA124" s="98" t="s">
        <v>423</v>
      </c>
      <c r="BB124" s="123">
        <f>A34</f>
        <v>0</v>
      </c>
      <c r="BC124" s="123">
        <f>C34</f>
        <v>0</v>
      </c>
      <c r="BD124" s="124" t="str">
        <f>IF(AND(OR(($H$34="通常食"),($H$34="キッズ")),NOT(OR($N$34=0,$N$34=""))),$H$34,"")</f>
        <v/>
      </c>
      <c r="BE124" s="123" t="str">
        <f>IF($BG124="","",VLOOKUP($BH124,$BD$160:$BF$188,2,0))</f>
        <v/>
      </c>
      <c r="BF124" s="123" t="str">
        <f>IF($BG124="","",VLOOKUP($BH124,$BD$160:$BF$188,3,0))</f>
        <v/>
      </c>
      <c r="BG124" s="124" t="str">
        <f>IF(AND(OR(($H$34="通常食"),($H$34="キッズ")),NOT(OR($N$34=0,$N$34=""))),$N$34,"")</f>
        <v/>
      </c>
      <c r="BH124" s="113" t="str">
        <f t="shared" si="23"/>
        <v>0小学生</v>
      </c>
      <c r="BI124" s="113">
        <f>IF(OR(BG124="",BG124=0),0,30)</f>
        <v>0</v>
      </c>
      <c r="BJ124" s="98"/>
      <c r="BK124" s="98"/>
      <c r="BL124" s="98"/>
      <c r="BM124" s="98"/>
      <c r="BN124" s="98"/>
      <c r="BO124" s="98"/>
      <c r="BP124" s="98"/>
      <c r="BQ124" s="98"/>
      <c r="BR124" s="98"/>
      <c r="BS124" s="98"/>
      <c r="BT124" s="98"/>
      <c r="BU124" s="98"/>
      <c r="BV124" s="98"/>
      <c r="BW124" s="98"/>
      <c r="BX124" s="98"/>
      <c r="BY124" s="98"/>
      <c r="BZ124" s="98"/>
      <c r="CA124" s="98"/>
    </row>
    <row r="125" spans="32:79" ht="13.5" customHeight="1" thickBot="1">
      <c r="AF125" s="1472"/>
      <c r="AG125" s="1472"/>
      <c r="AH125" s="1472"/>
      <c r="AI125" s="1472"/>
      <c r="AJ125" s="1472"/>
      <c r="BA125" s="125" t="s">
        <v>425</v>
      </c>
      <c r="BB125" s="126">
        <f>A34</f>
        <v>0</v>
      </c>
      <c r="BC125" s="126">
        <f>C34</f>
        <v>0</v>
      </c>
      <c r="BD125" s="124" t="str">
        <f>IF(AND(OR(($H$34="通常食"),($H$34="キッズ")),NOT(OR($P$34=0,$P$34=""))),$H$34,"")</f>
        <v/>
      </c>
      <c r="BE125" s="123" t="str">
        <f>IF($BG125="","",VLOOKUP($BH125,$BD$160:$BF$188,2,0))</f>
        <v/>
      </c>
      <c r="BF125" s="123" t="str">
        <f>IF($BG125="","",VLOOKUP($BH125,$BD$160:$BF$188,3,0))</f>
        <v/>
      </c>
      <c r="BG125" s="124" t="str">
        <f>IF(AND(OR(($H$34="通常食"),($H$34="キッズ")),NOT(OR($P$34=0,$P$34=""))),$P$34,"")</f>
        <v/>
      </c>
      <c r="BH125" s="113" t="str">
        <f t="shared" si="23"/>
        <v>0中学生以上</v>
      </c>
      <c r="BI125" s="113">
        <f>IF(OR(BG125="",BG125=0),0,29)</f>
        <v>0</v>
      </c>
      <c r="BJ125" s="98"/>
      <c r="BK125" s="98"/>
      <c r="BL125" s="98"/>
      <c r="BM125" s="98"/>
      <c r="BN125" s="98"/>
      <c r="BO125" s="98"/>
      <c r="BP125" s="98"/>
      <c r="BQ125" s="98"/>
      <c r="BR125" s="98"/>
      <c r="BS125" s="98"/>
      <c r="BT125" s="98"/>
      <c r="BU125" s="98"/>
      <c r="BV125" s="98"/>
      <c r="BW125" s="98"/>
      <c r="BX125" s="98"/>
      <c r="BY125" s="98"/>
      <c r="BZ125" s="98"/>
      <c r="CA125" s="98"/>
    </row>
    <row r="126" spans="32:79" ht="13.5" customHeight="1">
      <c r="AF126" s="1472"/>
      <c r="AG126" s="1472"/>
      <c r="AH126" s="1472"/>
      <c r="AI126" s="1472"/>
      <c r="AJ126" s="1472"/>
      <c r="BA126" s="98" t="s">
        <v>424</v>
      </c>
      <c r="BB126" s="120">
        <f>A35</f>
        <v>0</v>
      </c>
      <c r="BC126" s="120">
        <f>C35</f>
        <v>0</v>
      </c>
      <c r="BD126" s="120">
        <f>IF(AND(NOT($H$35="通常食"),NOT($H$35="キッズ")),$H$35,"")</f>
        <v>0</v>
      </c>
      <c r="BE126" s="120" t="e">
        <f>IF(NOT($BD126=""),VLOOKUP($BD126,$BD$188:$BF$219,2,0),"")</f>
        <v>#N/A</v>
      </c>
      <c r="BF126" s="120" t="e">
        <f>IF(NOT($BD126=""),VLOOKUP($BD126,$BD$188:$BF$219,3,0),"")</f>
        <v>#N/A</v>
      </c>
      <c r="BG126" s="122">
        <f>IF(AND(NOT($H$35="通常食"),NOT($H$35="キッズ")),$R$35,"")</f>
        <v>0</v>
      </c>
      <c r="BH126" s="113"/>
      <c r="BI126" s="113">
        <f>IF(OR(BG126="",BG126=0),0,28)</f>
        <v>0</v>
      </c>
      <c r="BJ126" s="98"/>
      <c r="BK126" s="98"/>
      <c r="BL126" s="98"/>
      <c r="BM126" s="98"/>
      <c r="BN126" s="98"/>
      <c r="BO126" s="98"/>
      <c r="BP126" s="98"/>
      <c r="BQ126" s="98"/>
      <c r="BR126" s="98"/>
      <c r="BS126" s="98"/>
      <c r="BT126" s="98"/>
      <c r="BU126" s="98"/>
      <c r="BV126" s="98"/>
      <c r="BW126" s="98"/>
      <c r="BX126" s="98"/>
      <c r="BY126" s="98"/>
      <c r="BZ126" s="98"/>
      <c r="CA126" s="98"/>
    </row>
    <row r="127" spans="32:79" ht="13.5" customHeight="1">
      <c r="AF127" s="1472"/>
      <c r="AG127" s="1472"/>
      <c r="AH127" s="1472"/>
      <c r="AI127" s="1472"/>
      <c r="AJ127" s="1472"/>
      <c r="BA127" s="98" t="s">
        <v>422</v>
      </c>
      <c r="BB127" s="123">
        <f>A35</f>
        <v>0</v>
      </c>
      <c r="BC127" s="123">
        <f>C35</f>
        <v>0</v>
      </c>
      <c r="BD127" s="124" t="str">
        <f>IF(AND(OR(($H$35="通常食"),($H$35="キッズ")),NOT(OR($L$35=0,$L$35=""))),$H$35,"")</f>
        <v/>
      </c>
      <c r="BE127" s="123" t="str">
        <f>IF($BG127="","",VLOOKUP($BH127,$BD$160:$BF$188,2,0))</f>
        <v/>
      </c>
      <c r="BF127" s="123" t="str">
        <f>IF($BG127="","",VLOOKUP($BH127,$BD$160:$BF$188,3,0))</f>
        <v/>
      </c>
      <c r="BG127" s="124" t="str">
        <f>IF(AND(OR(($H$35="通常食"),($H$35="キッズ")),NOT(OR($L$35=0,$L$35=""))),$L$35,"")</f>
        <v/>
      </c>
      <c r="BH127" s="113" t="str">
        <f t="shared" si="23"/>
        <v>0幼児</v>
      </c>
      <c r="BI127" s="113">
        <f>IF(OR(BG127="",BG127=0),0,27)</f>
        <v>0</v>
      </c>
      <c r="BJ127" s="98"/>
      <c r="BK127" s="98"/>
      <c r="BL127" s="98"/>
      <c r="BM127" s="98"/>
      <c r="BN127" s="98"/>
      <c r="BO127" s="98"/>
      <c r="BP127" s="98"/>
      <c r="BQ127" s="98"/>
      <c r="BR127" s="98"/>
      <c r="BS127" s="98"/>
      <c r="BT127" s="98"/>
      <c r="BU127" s="98"/>
      <c r="BV127" s="98"/>
      <c r="BW127" s="98"/>
      <c r="BX127" s="98"/>
      <c r="BY127" s="98"/>
      <c r="BZ127" s="98"/>
      <c r="CA127" s="98"/>
    </row>
    <row r="128" spans="32:79" ht="13.5" customHeight="1">
      <c r="AF128" s="1472"/>
      <c r="AG128" s="1472"/>
      <c r="AH128" s="1472"/>
      <c r="AI128" s="1472"/>
      <c r="AJ128" s="1472"/>
      <c r="BA128" s="98" t="s">
        <v>423</v>
      </c>
      <c r="BB128" s="123">
        <f>A35</f>
        <v>0</v>
      </c>
      <c r="BC128" s="123">
        <f>C35</f>
        <v>0</v>
      </c>
      <c r="BD128" s="124" t="str">
        <f>IF(AND(OR(($H$35="通常食"),($H$35="キッズ")),NOT(OR($N$35=0,$N$35=""))),$H$35,"")</f>
        <v/>
      </c>
      <c r="BE128" s="123" t="str">
        <f>IF($BG128="","",VLOOKUP($BH128,$BD$160:$BF$188,2,0))</f>
        <v/>
      </c>
      <c r="BF128" s="123" t="str">
        <f>IF($BG128="","",VLOOKUP($BH128,$BD$160:$BF$188,3,0))</f>
        <v/>
      </c>
      <c r="BG128" s="124" t="str">
        <f>IF(AND(OR(($H$35="通常食"),($H$35="キッズ")),NOT(OR($N$35=0,$N$35=""))),$N$35,"")</f>
        <v/>
      </c>
      <c r="BH128" s="113" t="str">
        <f t="shared" si="23"/>
        <v>0小学生</v>
      </c>
      <c r="BI128" s="113">
        <f>IF(OR(BG128="",BG128=0),0,26)</f>
        <v>0</v>
      </c>
      <c r="BJ128" s="98"/>
      <c r="BK128" s="98"/>
      <c r="BL128" s="98"/>
      <c r="BM128" s="98"/>
      <c r="BN128" s="98"/>
      <c r="BO128" s="98"/>
      <c r="BP128" s="98"/>
      <c r="BQ128" s="98"/>
      <c r="BR128" s="98"/>
      <c r="BS128" s="98"/>
      <c r="BT128" s="98"/>
      <c r="BU128" s="98"/>
      <c r="BV128" s="98"/>
      <c r="BW128" s="98"/>
      <c r="BX128" s="98"/>
      <c r="BY128" s="98"/>
      <c r="BZ128" s="98"/>
      <c r="CA128" s="98"/>
    </row>
    <row r="129" spans="32:79" ht="13.5" customHeight="1" thickBot="1">
      <c r="AF129" s="1472"/>
      <c r="AG129" s="1472"/>
      <c r="AH129" s="1472"/>
      <c r="AI129" s="1472"/>
      <c r="AJ129" s="1472"/>
      <c r="BA129" s="125" t="s">
        <v>425</v>
      </c>
      <c r="BB129" s="126">
        <f>A35</f>
        <v>0</v>
      </c>
      <c r="BC129" s="126">
        <f>C35</f>
        <v>0</v>
      </c>
      <c r="BD129" s="124" t="str">
        <f>IF(AND(OR(($H$35="通常食"),($H$35="キッズ")),NOT(OR($P$35=0,$P$35=""))),$H$35,"")</f>
        <v/>
      </c>
      <c r="BE129" s="123" t="str">
        <f>IF($BG129="","",VLOOKUP($BH129,$BD$160:$BF$188,2,0))</f>
        <v/>
      </c>
      <c r="BF129" s="123" t="str">
        <f>IF($BG129="","",VLOOKUP($BH129,$BD$160:$BF$188,3,0))</f>
        <v/>
      </c>
      <c r="BG129" s="124" t="str">
        <f>IF(AND(OR(($H$35="通常食"),($H$35="キッズ")),NOT(OR($P$35=0,$P$35=""))),$P$35,"")</f>
        <v/>
      </c>
      <c r="BH129" s="113" t="str">
        <f t="shared" si="23"/>
        <v>0中学生以上</v>
      </c>
      <c r="BI129" s="113">
        <f>IF(OR(BG129="",BG129=0),0,25)</f>
        <v>0</v>
      </c>
      <c r="BJ129" s="98"/>
      <c r="BK129" s="98"/>
      <c r="BL129" s="98"/>
      <c r="BM129" s="98"/>
      <c r="BN129" s="98"/>
      <c r="BO129" s="98"/>
      <c r="BP129" s="98"/>
      <c r="BQ129" s="98"/>
      <c r="BR129" s="98"/>
      <c r="BS129" s="98"/>
      <c r="BT129" s="98"/>
      <c r="BU129" s="98"/>
      <c r="BV129" s="98"/>
      <c r="BW129" s="98"/>
      <c r="BX129" s="98"/>
      <c r="BY129" s="98"/>
      <c r="BZ129" s="98"/>
      <c r="CA129" s="98"/>
    </row>
    <row r="130" spans="32:79" ht="13.5" customHeight="1">
      <c r="AF130" s="1472"/>
      <c r="AG130" s="1472"/>
      <c r="AH130" s="1472"/>
      <c r="AI130" s="1472"/>
      <c r="AJ130" s="1472"/>
      <c r="BA130" s="98" t="s">
        <v>424</v>
      </c>
      <c r="BB130" s="120">
        <f>A36</f>
        <v>0</v>
      </c>
      <c r="BC130" s="120">
        <f>C36</f>
        <v>0</v>
      </c>
      <c r="BD130" s="120">
        <f>IF(AND(NOT($H$36="通常食"),NOT($H$36="キッズ")),$H$36,"")</f>
        <v>0</v>
      </c>
      <c r="BE130" s="120" t="e">
        <f>IF(NOT($BD130=""),VLOOKUP($BD130,$BD$188:$BF$219,2,0),"")</f>
        <v>#N/A</v>
      </c>
      <c r="BF130" s="120" t="e">
        <f>IF(NOT($BD130=""),VLOOKUP($BD130,$BD$188:$BF$219,3,0),"")</f>
        <v>#N/A</v>
      </c>
      <c r="BG130" s="122">
        <f>IF(AND(NOT($H$36="通常食"),NOT($H$36="キッズ")),$R$36,"")</f>
        <v>0</v>
      </c>
      <c r="BH130" s="113"/>
      <c r="BI130" s="113">
        <f>IF(OR(BG130="",BG130=0),0,24)</f>
        <v>0</v>
      </c>
      <c r="BJ130" s="98"/>
      <c r="BK130" s="98"/>
      <c r="BL130" s="98"/>
      <c r="BM130" s="98"/>
      <c r="BN130" s="98"/>
      <c r="BO130" s="98"/>
      <c r="BP130" s="98"/>
      <c r="BQ130" s="98"/>
      <c r="BR130" s="98"/>
      <c r="BS130" s="98"/>
      <c r="BT130" s="98"/>
      <c r="BU130" s="98"/>
      <c r="BV130" s="98"/>
      <c r="BW130" s="98"/>
      <c r="BX130" s="98"/>
      <c r="BY130" s="98"/>
      <c r="BZ130" s="98"/>
      <c r="CA130" s="98"/>
    </row>
    <row r="131" spans="32:79" ht="13.5" customHeight="1">
      <c r="AF131" s="1472"/>
      <c r="AG131" s="1472"/>
      <c r="AH131" s="1472"/>
      <c r="AI131" s="1472"/>
      <c r="AJ131" s="1472"/>
      <c r="BA131" s="98" t="s">
        <v>422</v>
      </c>
      <c r="BB131" s="123">
        <f>A36</f>
        <v>0</v>
      </c>
      <c r="BC131" s="123">
        <f>C36</f>
        <v>0</v>
      </c>
      <c r="BD131" s="124" t="str">
        <f>IF(AND(OR(($H$36="通常食"),($H$36="キッズ")),NOT(OR($L$36=0,$L$36=""))),$H$36,"")</f>
        <v/>
      </c>
      <c r="BE131" s="123" t="str">
        <f>IF($BG131="","",VLOOKUP($BH131,$BD$160:$BF$188,2,0))</f>
        <v/>
      </c>
      <c r="BF131" s="123" t="str">
        <f>IF($BG131="","",VLOOKUP($BH131,$BD$160:$BF$188,3,0))</f>
        <v/>
      </c>
      <c r="BG131" s="124" t="str">
        <f>IF(AND(OR(($H$36="通常食"),($H$36="キッズ")),NOT(OR($L$36=0,$L$36=""))),$L$36,"")</f>
        <v/>
      </c>
      <c r="BH131" s="113" t="str">
        <f t="shared" si="23"/>
        <v>0幼児</v>
      </c>
      <c r="BI131" s="113">
        <f>IF(OR(BG131="",BG131=0),0,23)</f>
        <v>0</v>
      </c>
      <c r="BJ131" s="98"/>
      <c r="BK131" s="98"/>
      <c r="BL131" s="98"/>
      <c r="BM131" s="98"/>
      <c r="BN131" s="98"/>
      <c r="BO131" s="98"/>
      <c r="BP131" s="98"/>
      <c r="BQ131" s="98"/>
      <c r="BR131" s="98"/>
      <c r="BS131" s="98"/>
      <c r="BT131" s="98"/>
      <c r="BU131" s="98"/>
      <c r="BV131" s="98"/>
      <c r="BW131" s="98"/>
      <c r="BX131" s="98"/>
      <c r="BY131" s="98"/>
      <c r="BZ131" s="98"/>
      <c r="CA131" s="98"/>
    </row>
    <row r="132" spans="32:79" ht="13.5" customHeight="1">
      <c r="AF132" s="1472"/>
      <c r="AG132" s="1472"/>
      <c r="AH132" s="1472"/>
      <c r="AI132" s="1472"/>
      <c r="AJ132" s="1472"/>
      <c r="BA132" s="98" t="s">
        <v>423</v>
      </c>
      <c r="BB132" s="123">
        <f>A36</f>
        <v>0</v>
      </c>
      <c r="BC132" s="123">
        <f>C36</f>
        <v>0</v>
      </c>
      <c r="BD132" s="124" t="str">
        <f>IF(AND(OR(($H$36="通常食"),($H$36="キッズ")),NOT(OR($N$36=0,$N$36=""))),$H$36,"")</f>
        <v/>
      </c>
      <c r="BE132" s="123" t="str">
        <f>IF($BG132="","",VLOOKUP($BH132,$BD$160:$BF$188,2,0))</f>
        <v/>
      </c>
      <c r="BF132" s="123" t="str">
        <f>IF($BG132="","",VLOOKUP($BH132,$BD$160:$BF$188,3,0))</f>
        <v/>
      </c>
      <c r="BG132" s="124" t="str">
        <f>IF(AND(OR(($H$36="通常食"),($H$36="キッズ")),NOT(OR($N$36=0,$N$36=""))),$N$36,"")</f>
        <v/>
      </c>
      <c r="BH132" s="113" t="str">
        <f t="shared" si="23"/>
        <v>0小学生</v>
      </c>
      <c r="BI132" s="113">
        <f>IF(OR(BG132="",BG132=0),0,22)</f>
        <v>0</v>
      </c>
      <c r="BJ132" s="98"/>
      <c r="BK132" s="98"/>
      <c r="BL132" s="98"/>
      <c r="BM132" s="98"/>
      <c r="BN132" s="98"/>
      <c r="BO132" s="98"/>
      <c r="BP132" s="98"/>
      <c r="BQ132" s="98"/>
      <c r="BR132" s="98"/>
      <c r="BS132" s="98"/>
      <c r="BT132" s="98"/>
      <c r="BU132" s="98"/>
      <c r="BV132" s="98"/>
      <c r="BW132" s="98"/>
      <c r="BX132" s="98"/>
      <c r="BY132" s="98"/>
      <c r="BZ132" s="98"/>
      <c r="CA132" s="98"/>
    </row>
    <row r="133" spans="32:79" ht="13.5" customHeight="1" thickBot="1">
      <c r="AF133" s="1472"/>
      <c r="AG133" s="1472"/>
      <c r="AH133" s="1472"/>
      <c r="AI133" s="1472"/>
      <c r="AJ133" s="1472"/>
      <c r="BA133" s="125" t="s">
        <v>425</v>
      </c>
      <c r="BB133" s="126">
        <f>A36</f>
        <v>0</v>
      </c>
      <c r="BC133" s="126">
        <f>C36</f>
        <v>0</v>
      </c>
      <c r="BD133" s="124" t="str">
        <f>IF(AND(OR(($H$36="通常食"),($H$36="キッズ")),NOT(OR($P$36=0,$P$36=""))),$H$36,"")</f>
        <v/>
      </c>
      <c r="BE133" s="123" t="str">
        <f>IF($BG133="","",VLOOKUP($BH133,$BD$160:$BF$188,2,0))</f>
        <v/>
      </c>
      <c r="BF133" s="123" t="str">
        <f>IF($BG133="","",VLOOKUP($BH133,$BD$160:$BF$188,3,0))</f>
        <v/>
      </c>
      <c r="BG133" s="124" t="str">
        <f>IF(AND(OR(($H$36="通常食"),($H$36="キッズ")),NOT(OR($P$36=0,$P$36=""))),$P$36,"")</f>
        <v/>
      </c>
      <c r="BH133" s="113" t="str">
        <f t="shared" si="23"/>
        <v>0中学生以上</v>
      </c>
      <c r="BI133" s="113">
        <f>IF(OR(BG133="",BG133=0),0,21)</f>
        <v>0</v>
      </c>
      <c r="BJ133" s="98"/>
      <c r="BK133" s="98"/>
      <c r="BL133" s="98"/>
      <c r="BM133" s="98"/>
      <c r="BN133" s="98"/>
      <c r="BO133" s="98"/>
      <c r="BP133" s="98"/>
      <c r="BQ133" s="98"/>
      <c r="BR133" s="98"/>
      <c r="BS133" s="98"/>
      <c r="BT133" s="98"/>
      <c r="BU133" s="98"/>
      <c r="BV133" s="98"/>
      <c r="BW133" s="98"/>
      <c r="BX133" s="98"/>
      <c r="BY133" s="98"/>
      <c r="BZ133" s="98"/>
      <c r="CA133" s="98"/>
    </row>
    <row r="134" spans="32:79" ht="13.5" customHeight="1">
      <c r="AF134" s="1472"/>
      <c r="AG134" s="1472"/>
      <c r="AH134" s="1472"/>
      <c r="AI134" s="1472"/>
      <c r="AJ134" s="1472"/>
      <c r="BA134" s="98" t="s">
        <v>424</v>
      </c>
      <c r="BB134" s="120">
        <f>A37</f>
        <v>0</v>
      </c>
      <c r="BC134" s="120">
        <f>C37</f>
        <v>0</v>
      </c>
      <c r="BD134" s="120">
        <f>IF(AND(NOT($H$37="通常食"),NOT($H$37="キッズ")),$H$37,"")</f>
        <v>0</v>
      </c>
      <c r="BE134" s="120" t="e">
        <f>IF(NOT($BD134=""),VLOOKUP($BD134,$BD$188:$BF$219,2,0),"")</f>
        <v>#N/A</v>
      </c>
      <c r="BF134" s="120" t="e">
        <f>IF(NOT($BD134=""),VLOOKUP($BD134,$BD$188:$BF$219,3,0),"")</f>
        <v>#N/A</v>
      </c>
      <c r="BG134" s="122">
        <f>IF(AND(NOT($H$37="通常食"),NOT($H$37="キッズ")),$R$37,"")</f>
        <v>0</v>
      </c>
      <c r="BH134" s="113"/>
      <c r="BI134" s="113">
        <f>IF(OR(BG134="",BG134=0),0,20)</f>
        <v>0</v>
      </c>
      <c r="BJ134" s="98"/>
      <c r="BK134" s="98"/>
      <c r="BL134" s="98"/>
      <c r="BM134" s="98"/>
      <c r="BN134" s="98"/>
      <c r="BO134" s="98"/>
      <c r="BP134" s="98"/>
      <c r="BQ134" s="98"/>
      <c r="BR134" s="98"/>
      <c r="BS134" s="98"/>
      <c r="BT134" s="98"/>
      <c r="BU134" s="98"/>
      <c r="BV134" s="98"/>
      <c r="BW134" s="98"/>
      <c r="BX134" s="98"/>
      <c r="BY134" s="98"/>
      <c r="BZ134" s="98"/>
      <c r="CA134" s="98"/>
    </row>
    <row r="135" spans="32:79" ht="13.5" customHeight="1">
      <c r="AF135" s="1472"/>
      <c r="AG135" s="1472"/>
      <c r="AH135" s="1472"/>
      <c r="AI135" s="1472"/>
      <c r="AJ135" s="1472"/>
      <c r="BA135" s="98" t="s">
        <v>422</v>
      </c>
      <c r="BB135" s="123">
        <f>A37</f>
        <v>0</v>
      </c>
      <c r="BC135" s="123">
        <f>C37</f>
        <v>0</v>
      </c>
      <c r="BD135" s="124" t="str">
        <f>IF(AND(OR(($H$37="通常食"),($H$37="キッズ")),NOT(OR($L$37=0,$L$37=""))),$H$37,"")</f>
        <v/>
      </c>
      <c r="BE135" s="123" t="str">
        <f>IF($BG135="","",VLOOKUP($BH135,$BD$160:$BF$188,2,0))</f>
        <v/>
      </c>
      <c r="BF135" s="123" t="str">
        <f>IF($BG135="","",VLOOKUP($BH135,$BD$160:$BF$188,3,0))</f>
        <v/>
      </c>
      <c r="BG135" s="124" t="str">
        <f>IF(AND(OR(($H$37="通常食"),($H$37="キッズ")),NOT(OR($L$37=0,$L$37=""))),$L$37,"")</f>
        <v/>
      </c>
      <c r="BH135" s="113" t="str">
        <f t="shared" si="23"/>
        <v>0幼児</v>
      </c>
      <c r="BI135" s="113">
        <f>IF(OR(BG135="",BG135=0),0,19)</f>
        <v>0</v>
      </c>
      <c r="BJ135" s="98"/>
      <c r="BK135" s="98"/>
      <c r="BL135" s="98"/>
      <c r="BM135" s="98"/>
      <c r="BN135" s="98"/>
      <c r="BO135" s="98"/>
      <c r="BP135" s="98"/>
      <c r="BQ135" s="98"/>
      <c r="BR135" s="98"/>
      <c r="BS135" s="98"/>
      <c r="BT135" s="98"/>
      <c r="BU135" s="98"/>
      <c r="BV135" s="98"/>
      <c r="BW135" s="98"/>
      <c r="BX135" s="98"/>
      <c r="BY135" s="98"/>
      <c r="BZ135" s="98"/>
      <c r="CA135" s="98"/>
    </row>
    <row r="136" spans="32:79" ht="13.5" customHeight="1">
      <c r="AF136" s="1472"/>
      <c r="AG136" s="1472"/>
      <c r="AH136" s="1472"/>
      <c r="AI136" s="1472"/>
      <c r="AJ136" s="1472"/>
      <c r="BA136" s="98" t="s">
        <v>423</v>
      </c>
      <c r="BB136" s="123">
        <f>A37</f>
        <v>0</v>
      </c>
      <c r="BC136" s="123">
        <f>C37</f>
        <v>0</v>
      </c>
      <c r="BD136" s="124" t="str">
        <f>IF(AND(OR(($H$37="通常食"),($H$37="キッズ")),NOT(OR($N$37=0,$N$37=""))),$H$37,"")</f>
        <v/>
      </c>
      <c r="BE136" s="123" t="str">
        <f>IF($BG136="","",VLOOKUP($BH136,$BD$160:$BF$188,2,0))</f>
        <v/>
      </c>
      <c r="BF136" s="123" t="str">
        <f>IF($BG136="","",VLOOKUP($BH136,$BD$160:$BF$188,3,0))</f>
        <v/>
      </c>
      <c r="BG136" s="124" t="str">
        <f>IF(AND(OR(($H$37="通常食"),($H$37="キッズ")),NOT(OR($N$37=0,$N$37=""))),$N$37,"")</f>
        <v/>
      </c>
      <c r="BH136" s="113" t="str">
        <f t="shared" si="23"/>
        <v>0小学生</v>
      </c>
      <c r="BI136" s="113">
        <f>IF(OR(BG136="",BG136=0),0,18)</f>
        <v>0</v>
      </c>
      <c r="BJ136" s="98"/>
      <c r="BK136" s="98"/>
      <c r="BL136" s="98"/>
      <c r="BM136" s="98"/>
      <c r="BN136" s="98"/>
      <c r="BO136" s="98"/>
      <c r="BP136" s="98"/>
      <c r="BQ136" s="98"/>
      <c r="BR136" s="98"/>
      <c r="BS136" s="98"/>
      <c r="BT136" s="98"/>
      <c r="BU136" s="98"/>
      <c r="BV136" s="98"/>
      <c r="BW136" s="98"/>
      <c r="BX136" s="98"/>
      <c r="BY136" s="98"/>
      <c r="BZ136" s="98"/>
      <c r="CA136" s="98"/>
    </row>
    <row r="137" spans="32:79" ht="13.5" customHeight="1" thickBot="1">
      <c r="AF137" s="1472"/>
      <c r="AG137" s="1472"/>
      <c r="AH137" s="1472"/>
      <c r="AI137" s="1472"/>
      <c r="AJ137" s="1472"/>
      <c r="BA137" s="125" t="s">
        <v>425</v>
      </c>
      <c r="BB137" s="126">
        <f>A37</f>
        <v>0</v>
      </c>
      <c r="BC137" s="126">
        <f>C37</f>
        <v>0</v>
      </c>
      <c r="BD137" s="124" t="str">
        <f>IF(AND(OR(($H$37="通常食"),($H$37="キッズ")),NOT(OR($P$37=0,$P$37=""))),$H$37,"")</f>
        <v/>
      </c>
      <c r="BE137" s="123" t="str">
        <f>IF($BG137="","",VLOOKUP($BH137,$BD$160:$BF$188,2,0))</f>
        <v/>
      </c>
      <c r="BF137" s="123" t="str">
        <f>IF($BG137="","",VLOOKUP($BH137,$BD$160:$BF$188,3,0))</f>
        <v/>
      </c>
      <c r="BG137" s="124" t="str">
        <f>IF(AND(OR(($H$37="通常食"),($H$37="キッズ")),NOT(OR($P$37=0,$P$37=""))),$P$37,"")</f>
        <v/>
      </c>
      <c r="BH137" s="113" t="str">
        <f t="shared" si="23"/>
        <v>0中学生以上</v>
      </c>
      <c r="BI137" s="113">
        <f>IF(OR(BG137="",BG137=0),0,17)</f>
        <v>0</v>
      </c>
      <c r="BJ137" s="98"/>
      <c r="BK137" s="98"/>
      <c r="BL137" s="98"/>
      <c r="BM137" s="98"/>
      <c r="BN137" s="98"/>
      <c r="BO137" s="98"/>
      <c r="BP137" s="98"/>
      <c r="BQ137" s="98"/>
      <c r="BR137" s="98"/>
      <c r="BS137" s="98"/>
      <c r="BT137" s="98"/>
      <c r="BU137" s="98"/>
      <c r="BV137" s="98"/>
      <c r="BW137" s="98"/>
      <c r="BX137" s="98"/>
      <c r="BY137" s="98"/>
      <c r="BZ137" s="98"/>
      <c r="CA137" s="98"/>
    </row>
    <row r="138" spans="32:79" ht="13.5" customHeight="1">
      <c r="AF138" s="1472"/>
      <c r="AG138" s="1472"/>
      <c r="AH138" s="1472"/>
      <c r="AI138" s="1472"/>
      <c r="AJ138" s="1472"/>
      <c r="BA138" s="98" t="s">
        <v>424</v>
      </c>
      <c r="BB138" s="120">
        <f>A38</f>
        <v>0</v>
      </c>
      <c r="BC138" s="120">
        <f>C38</f>
        <v>0</v>
      </c>
      <c r="BD138" s="120">
        <f>IF(AND(NOT($H$38="通常食"),NOT($H$38="キッズ")),$H$38,"")</f>
        <v>0</v>
      </c>
      <c r="BE138" s="120" t="e">
        <f>IF(NOT($BD138=""),VLOOKUP($BD138,$BD$188:$BF$219,2,0),"")</f>
        <v>#N/A</v>
      </c>
      <c r="BF138" s="120" t="e">
        <f>IF(NOT($BD138=""),VLOOKUP($BD138,$BD$188:$BF$219,3,0),"")</f>
        <v>#N/A</v>
      </c>
      <c r="BG138" s="122">
        <f>IF(AND(NOT($H$38="通常食"),NOT($H$38="キッズ")),$R$38,"")</f>
        <v>0</v>
      </c>
      <c r="BH138" s="113"/>
      <c r="BI138" s="113">
        <f>IF(OR(BG138="",BG138=0),0,16)</f>
        <v>0</v>
      </c>
      <c r="BJ138" s="98"/>
      <c r="BK138" s="98"/>
      <c r="BL138" s="98"/>
      <c r="BM138" s="98"/>
      <c r="BN138" s="98"/>
      <c r="BO138" s="98"/>
      <c r="BP138" s="98"/>
      <c r="BQ138" s="98"/>
      <c r="BR138" s="98"/>
      <c r="BS138" s="98"/>
      <c r="BT138" s="98"/>
      <c r="BU138" s="98"/>
      <c r="BV138" s="98"/>
      <c r="BW138" s="98"/>
      <c r="BX138" s="98"/>
      <c r="BY138" s="98"/>
      <c r="BZ138" s="98"/>
      <c r="CA138" s="98"/>
    </row>
    <row r="139" spans="32:79" ht="13.5" customHeight="1">
      <c r="AF139" s="1472"/>
      <c r="AG139" s="1472"/>
      <c r="AH139" s="1472"/>
      <c r="AI139" s="1472"/>
      <c r="AJ139" s="1472"/>
      <c r="BA139" s="98" t="s">
        <v>422</v>
      </c>
      <c r="BB139" s="123">
        <f>A38</f>
        <v>0</v>
      </c>
      <c r="BC139" s="123">
        <f>C38</f>
        <v>0</v>
      </c>
      <c r="BD139" s="124" t="str">
        <f>IF(AND(OR(($H$38="通常食"),($H$38="キッズ")),NOT(OR($L$38=0,$L$38=""))),$H$38,"")</f>
        <v/>
      </c>
      <c r="BE139" s="123" t="str">
        <f>IF($BG139="","",VLOOKUP($BH139,$BD$160:$BF$188,2,0))</f>
        <v/>
      </c>
      <c r="BF139" s="123" t="str">
        <f>IF($BG139="","",VLOOKUP($BH139,$BD$160:$BF$188,3,0))</f>
        <v/>
      </c>
      <c r="BG139" s="124" t="str">
        <f>IF(AND(OR(($H$38="通常食"),($H$38="キッズ")),NOT(OR($L$38=0,$L$38=""))),$L$38,"")</f>
        <v/>
      </c>
      <c r="BH139" s="113" t="str">
        <f t="shared" si="23"/>
        <v>0幼児</v>
      </c>
      <c r="BI139" s="113">
        <f>IF(OR(BG139="",BG139=0),0,15)</f>
        <v>0</v>
      </c>
      <c r="BJ139" s="98"/>
      <c r="BK139" s="98"/>
      <c r="BL139" s="98"/>
      <c r="BM139" s="98"/>
      <c r="BN139" s="98"/>
      <c r="BO139" s="98"/>
      <c r="BP139" s="98"/>
      <c r="BQ139" s="98"/>
      <c r="BR139" s="98"/>
      <c r="BS139" s="98"/>
      <c r="BT139" s="98"/>
      <c r="BU139" s="98"/>
      <c r="BV139" s="98"/>
      <c r="BW139" s="98"/>
      <c r="BX139" s="98"/>
      <c r="BY139" s="98"/>
      <c r="BZ139" s="98"/>
      <c r="CA139" s="98"/>
    </row>
    <row r="140" spans="32:79" ht="13.5" customHeight="1">
      <c r="AF140" s="1472"/>
      <c r="AG140" s="1472"/>
      <c r="AH140" s="1472"/>
      <c r="AI140" s="1472"/>
      <c r="AJ140" s="1472"/>
      <c r="BA140" s="98" t="s">
        <v>423</v>
      </c>
      <c r="BB140" s="123">
        <f>A38</f>
        <v>0</v>
      </c>
      <c r="BC140" s="123">
        <f>C38</f>
        <v>0</v>
      </c>
      <c r="BD140" s="124" t="str">
        <f>IF(AND(OR(($H$38="通常食"),($H$38="キッズ")),NOT(OR($N$38=0,$N$38=""))),$H$38,"")</f>
        <v/>
      </c>
      <c r="BE140" s="123" t="str">
        <f>IF($BG140="","",VLOOKUP($BH140,$BD$160:$BF$188,2,0))</f>
        <v/>
      </c>
      <c r="BF140" s="123" t="str">
        <f>IF($BG140="","",VLOOKUP($BH140,$BD$160:$BF$188,3,0))</f>
        <v/>
      </c>
      <c r="BG140" s="124" t="str">
        <f>IF(AND(OR(($H$38="通常食"),($H$38="キッズ")),NOT(OR($N$38=0,$N$38=""))),$N$38,"")</f>
        <v/>
      </c>
      <c r="BH140" s="113" t="str">
        <f t="shared" si="23"/>
        <v>0小学生</v>
      </c>
      <c r="BI140" s="113">
        <f>IF(OR(BG140="",BG140=0),0,14)</f>
        <v>0</v>
      </c>
      <c r="BJ140" s="98"/>
      <c r="BK140" s="98"/>
      <c r="BL140" s="98"/>
      <c r="BM140" s="98"/>
      <c r="BN140" s="98"/>
      <c r="BO140" s="98"/>
      <c r="BP140" s="98"/>
      <c r="BQ140" s="98"/>
      <c r="BR140" s="98"/>
      <c r="BS140" s="98"/>
      <c r="BT140" s="98"/>
      <c r="BU140" s="98"/>
      <c r="BV140" s="98"/>
      <c r="BW140" s="98"/>
      <c r="BX140" s="98"/>
      <c r="BY140" s="98"/>
      <c r="BZ140" s="98"/>
      <c r="CA140" s="98"/>
    </row>
    <row r="141" spans="32:79" ht="13.5" customHeight="1" thickBot="1">
      <c r="AF141" s="1472"/>
      <c r="AG141" s="1472"/>
      <c r="AH141" s="1472"/>
      <c r="AI141" s="1472"/>
      <c r="AJ141" s="1472"/>
      <c r="BA141" s="125" t="s">
        <v>425</v>
      </c>
      <c r="BB141" s="126">
        <f>A38</f>
        <v>0</v>
      </c>
      <c r="BC141" s="126">
        <f>C38</f>
        <v>0</v>
      </c>
      <c r="BD141" s="124" t="str">
        <f>IF(AND(OR(($H$38="通常食"),($H$38="キッズ")),NOT(OR($P$38=0,$P$38=""))),$H$38,"")</f>
        <v/>
      </c>
      <c r="BE141" s="123" t="str">
        <f>IF($BG141="","",VLOOKUP($BH141,$BD$160:$BF$188,2,0))</f>
        <v/>
      </c>
      <c r="BF141" s="123" t="str">
        <f>IF($BG141="","",VLOOKUP($BH141,$BD$160:$BF$188,3,0))</f>
        <v/>
      </c>
      <c r="BG141" s="124" t="str">
        <f>IF(AND(OR(($H$38="通常食"),($H$38="キッズ")),NOT(OR($P$38=0,$P$38=""))),$P$38,"")</f>
        <v/>
      </c>
      <c r="BH141" s="113" t="str">
        <f t="shared" si="23"/>
        <v>0中学生以上</v>
      </c>
      <c r="BI141" s="113">
        <f>IF(OR(BG141="",BG141=0),0,13)</f>
        <v>0</v>
      </c>
      <c r="BJ141" s="98"/>
      <c r="BK141" s="98"/>
      <c r="BL141" s="98"/>
      <c r="BM141" s="98"/>
      <c r="BN141" s="98"/>
      <c r="BO141" s="98"/>
      <c r="BP141" s="98"/>
      <c r="BQ141" s="98"/>
      <c r="BR141" s="98"/>
      <c r="BS141" s="98"/>
      <c r="BT141" s="98"/>
      <c r="BU141" s="98"/>
      <c r="BV141" s="98"/>
      <c r="BW141" s="98"/>
      <c r="BX141" s="98"/>
      <c r="BY141" s="98"/>
      <c r="BZ141" s="98"/>
      <c r="CA141" s="98"/>
    </row>
    <row r="142" spans="32:79" ht="13.5" customHeight="1">
      <c r="AF142" s="1472"/>
      <c r="AG142" s="1472"/>
      <c r="AH142" s="1472"/>
      <c r="AI142" s="1472"/>
      <c r="AJ142" s="1472"/>
      <c r="BA142" s="98" t="s">
        <v>424</v>
      </c>
      <c r="BB142" s="120">
        <f>A39</f>
        <v>0</v>
      </c>
      <c r="BC142" s="120">
        <f>C39</f>
        <v>0</v>
      </c>
      <c r="BD142" s="120">
        <f>IF(AND(NOT($H$39="通常食"),NOT($H$39="キッズ")),$H$39,"")</f>
        <v>0</v>
      </c>
      <c r="BE142" s="120" t="e">
        <f>IF(NOT($BD142=""),VLOOKUP($BD142,$BD$188:$BF$219,2,0),"")</f>
        <v>#N/A</v>
      </c>
      <c r="BF142" s="120" t="e">
        <f>IF(NOT($BD142=""),VLOOKUP($BD142,$BD$188:$BF$219,3,0),"")</f>
        <v>#N/A</v>
      </c>
      <c r="BG142" s="122">
        <f>IF(AND(NOT($H$39="通常食"),NOT($H$39="キッズ")),$R$39,"")</f>
        <v>0</v>
      </c>
      <c r="BH142" s="113"/>
      <c r="BI142" s="113">
        <f>IF(OR(BG142="",BG142=0),0,12)</f>
        <v>0</v>
      </c>
      <c r="BJ142" s="98"/>
      <c r="BK142" s="98"/>
      <c r="BL142" s="98"/>
      <c r="BM142" s="98"/>
      <c r="BN142" s="98"/>
      <c r="BO142" s="98"/>
      <c r="BP142" s="98"/>
      <c r="BQ142" s="98"/>
      <c r="BR142" s="98"/>
      <c r="BS142" s="98"/>
      <c r="BT142" s="98"/>
      <c r="BU142" s="98"/>
      <c r="BV142" s="98"/>
      <c r="BW142" s="98"/>
      <c r="BX142" s="98"/>
      <c r="BY142" s="98"/>
      <c r="BZ142" s="98"/>
      <c r="CA142" s="98"/>
    </row>
    <row r="143" spans="32:79" ht="13.5" customHeight="1">
      <c r="AF143" s="1472"/>
      <c r="AG143" s="1472"/>
      <c r="AH143" s="1472"/>
      <c r="AI143" s="1472"/>
      <c r="AJ143" s="1472"/>
      <c r="BA143" s="98" t="s">
        <v>422</v>
      </c>
      <c r="BB143" s="123">
        <f>A39</f>
        <v>0</v>
      </c>
      <c r="BC143" s="123">
        <f>C39</f>
        <v>0</v>
      </c>
      <c r="BD143" s="124" t="str">
        <f>IF(AND(OR(($H$39="通常食"),($H$39="キッズ")),NOT(OR($L$39=0,$L$39=""))),$H$39,"")</f>
        <v/>
      </c>
      <c r="BE143" s="123" t="str">
        <f>IF($BG143="","",VLOOKUP($BH143,$BD$160:$BF$188,2,0))</f>
        <v/>
      </c>
      <c r="BF143" s="123" t="str">
        <f>IF($BG143="","",VLOOKUP($BH143,$BD$160:$BF$188,3,0))</f>
        <v/>
      </c>
      <c r="BG143" s="124" t="str">
        <f>IF(AND(OR(($H$39="通常食"),($H$39="キッズ")),NOT(OR($L$39=0,$L$39=""))),$L$39,"")</f>
        <v/>
      </c>
      <c r="BH143" s="113" t="str">
        <f t="shared" si="23"/>
        <v>0幼児</v>
      </c>
      <c r="BI143" s="113">
        <f>IF(OR(BG143="",BG143=0),0,11)</f>
        <v>0</v>
      </c>
      <c r="BJ143" s="98"/>
      <c r="BK143" s="98"/>
      <c r="BL143" s="98"/>
      <c r="BM143" s="98"/>
      <c r="BN143" s="98"/>
      <c r="BO143" s="98"/>
      <c r="BP143" s="98"/>
      <c r="BQ143" s="98"/>
      <c r="BR143" s="98"/>
      <c r="BS143" s="98"/>
      <c r="BT143" s="98"/>
      <c r="BU143" s="98"/>
      <c r="BV143" s="98"/>
      <c r="BW143" s="98"/>
      <c r="BX143" s="98"/>
      <c r="BY143" s="98"/>
      <c r="BZ143" s="98"/>
      <c r="CA143" s="98"/>
    </row>
    <row r="144" spans="32:79" ht="13.5" customHeight="1">
      <c r="AF144" s="1472"/>
      <c r="AG144" s="1472"/>
      <c r="AH144" s="1472"/>
      <c r="AI144" s="1472"/>
      <c r="AJ144" s="1472"/>
      <c r="BA144" s="98" t="s">
        <v>423</v>
      </c>
      <c r="BB144" s="123">
        <f>A39</f>
        <v>0</v>
      </c>
      <c r="BC144" s="123">
        <f>C39</f>
        <v>0</v>
      </c>
      <c r="BD144" s="124" t="str">
        <f>IF(AND(OR(($H$39="通常食"),($H$39="キッズ")),NOT(OR($N$39=0,$N$39=""))),$H$39,"")</f>
        <v/>
      </c>
      <c r="BE144" s="123" t="str">
        <f>IF($BG144="","",VLOOKUP($BH144,$BD$160:$BF$188,2,0))</f>
        <v/>
      </c>
      <c r="BF144" s="123" t="str">
        <f>IF($BG144="","",VLOOKUP($BH144,$BD$160:$BF$188,3,0))</f>
        <v/>
      </c>
      <c r="BG144" s="124" t="str">
        <f>IF(AND(OR(($H$39="通常食"),($H$39="キッズ")),NOT(OR($N$39=0,$N$39=""))),$N$39,"")</f>
        <v/>
      </c>
      <c r="BH144" s="113" t="str">
        <f t="shared" si="23"/>
        <v>0小学生</v>
      </c>
      <c r="BI144" s="113">
        <f>IF(OR(BG144="",BG144=0),0,10)</f>
        <v>0</v>
      </c>
      <c r="BJ144" s="98"/>
      <c r="BK144" s="98"/>
      <c r="BL144" s="98"/>
      <c r="BM144" s="98"/>
      <c r="BN144" s="98"/>
      <c r="BO144" s="98"/>
      <c r="BP144" s="98"/>
      <c r="BQ144" s="98"/>
      <c r="BR144" s="98"/>
      <c r="BS144" s="98"/>
      <c r="BT144" s="98"/>
      <c r="BU144" s="98"/>
      <c r="BV144" s="98"/>
      <c r="BW144" s="98"/>
      <c r="BX144" s="98"/>
      <c r="BY144" s="98"/>
      <c r="BZ144" s="98"/>
      <c r="CA144" s="98"/>
    </row>
    <row r="145" spans="32:79" ht="13.5" customHeight="1" thickBot="1">
      <c r="AF145" s="1472"/>
      <c r="AG145" s="1472"/>
      <c r="AH145" s="1472"/>
      <c r="AI145" s="1472"/>
      <c r="AJ145" s="1472"/>
      <c r="BA145" s="125" t="s">
        <v>425</v>
      </c>
      <c r="BB145" s="126">
        <f>A39</f>
        <v>0</v>
      </c>
      <c r="BC145" s="126">
        <f>C39</f>
        <v>0</v>
      </c>
      <c r="BD145" s="124" t="str">
        <f>IF(AND(OR(($H$39="通常食"),($H$39="キッズ")),NOT(OR($P$39=0,$P$39=""))),$H$39,"")</f>
        <v/>
      </c>
      <c r="BE145" s="123" t="str">
        <f>IF($BG145="","",VLOOKUP($BH145,$BD$160:$BF$188,2,0))</f>
        <v/>
      </c>
      <c r="BF145" s="123" t="str">
        <f>IF($BG145="","",VLOOKUP($BH145,$BD$160:$BF$188,3,0))</f>
        <v/>
      </c>
      <c r="BG145" s="124" t="str">
        <f>IF(AND(OR(($H$39="通常食"),($H$39="キッズ")),NOT(OR($P$39=0,$P$39=""))),$P$39,"")</f>
        <v/>
      </c>
      <c r="BH145" s="113" t="str">
        <f t="shared" si="23"/>
        <v>0中学生以上</v>
      </c>
      <c r="BI145" s="113">
        <f>IF(OR(BG145="",BG145=0),0,9)</f>
        <v>0</v>
      </c>
      <c r="BJ145" s="98"/>
      <c r="BK145" s="98"/>
      <c r="BL145" s="98"/>
      <c r="BM145" s="98"/>
      <c r="BN145" s="98"/>
      <c r="BO145" s="98"/>
      <c r="BP145" s="98"/>
      <c r="BQ145" s="98"/>
      <c r="BR145" s="98"/>
      <c r="BS145" s="98"/>
      <c r="BT145" s="98"/>
      <c r="BU145" s="98"/>
      <c r="BV145" s="98"/>
      <c r="BW145" s="98"/>
      <c r="BX145" s="98"/>
      <c r="BY145" s="98"/>
      <c r="BZ145" s="98"/>
      <c r="CA145" s="98"/>
    </row>
    <row r="146" spans="32:79" ht="13.5" customHeight="1">
      <c r="AF146" s="1472"/>
      <c r="AG146" s="1472"/>
      <c r="AH146" s="1472"/>
      <c r="AI146" s="1472"/>
      <c r="AJ146" s="1472"/>
      <c r="BA146" s="98" t="s">
        <v>424</v>
      </c>
      <c r="BB146" s="120">
        <f>A40</f>
        <v>0</v>
      </c>
      <c r="BC146" s="120">
        <f>C40</f>
        <v>0</v>
      </c>
      <c r="BD146" s="120">
        <f>IF(AND(NOT($H$40="通常食"),NOT($H$40="キッズ")),$H$40,"")</f>
        <v>0</v>
      </c>
      <c r="BE146" s="120" t="e">
        <f>IF(NOT($BD146=""),VLOOKUP($BD146,$BD$188:$BF$219,2,0),"")</f>
        <v>#N/A</v>
      </c>
      <c r="BF146" s="120" t="e">
        <f>IF(NOT($BD146=""),VLOOKUP($BD146,$BD$188:$BF$219,3,0),"")</f>
        <v>#N/A</v>
      </c>
      <c r="BG146" s="122">
        <f>IF(AND(NOT($H$40="通常食"),NOT($H$40="キッズ")),$R$40,"")</f>
        <v>0</v>
      </c>
      <c r="BH146" s="113"/>
      <c r="BI146" s="113">
        <f>IF(OR(BG146="",BG146=0),0,8)</f>
        <v>0</v>
      </c>
      <c r="BJ146" s="98"/>
      <c r="BK146" s="98"/>
      <c r="BL146" s="98"/>
      <c r="BM146" s="98"/>
      <c r="BN146" s="98"/>
      <c r="BO146" s="98"/>
      <c r="BP146" s="98"/>
      <c r="BQ146" s="98"/>
      <c r="BR146" s="98"/>
      <c r="BS146" s="98"/>
      <c r="BT146" s="98"/>
      <c r="BU146" s="98"/>
      <c r="BV146" s="98"/>
      <c r="BW146" s="98"/>
      <c r="BX146" s="98"/>
      <c r="BY146" s="98"/>
      <c r="BZ146" s="98"/>
      <c r="CA146" s="98"/>
    </row>
    <row r="147" spans="32:79" ht="13.5" customHeight="1">
      <c r="AF147" s="1472"/>
      <c r="AG147" s="1472"/>
      <c r="AH147" s="1472"/>
      <c r="AI147" s="1472"/>
      <c r="AJ147" s="1472"/>
      <c r="BA147" s="98" t="s">
        <v>422</v>
      </c>
      <c r="BB147" s="123">
        <f>A40</f>
        <v>0</v>
      </c>
      <c r="BC147" s="123">
        <f>C40</f>
        <v>0</v>
      </c>
      <c r="BD147" s="124" t="str">
        <f>IF(AND(OR(($H$40="通常食"),($H$40="キッズ")),NOT(OR($L$40=0,$L$40=""))),$H$40,"")</f>
        <v/>
      </c>
      <c r="BE147" s="123" t="str">
        <f>IF($BG147="","",VLOOKUP($BH147,$BD$160:$BF$188,2,0))</f>
        <v/>
      </c>
      <c r="BF147" s="123" t="str">
        <f>IF($BG147="","",VLOOKUP($BH147,$BD$160:$BF$188,3,0))</f>
        <v/>
      </c>
      <c r="BG147" s="124" t="str">
        <f>IF(AND(OR(($H$40="通常食"),($H$40="キッズ")),NOT(OR($L$40=0,$L$40=""))),$L$40,"")</f>
        <v/>
      </c>
      <c r="BH147" s="113" t="str">
        <f t="shared" si="23"/>
        <v>0幼児</v>
      </c>
      <c r="BI147" s="113">
        <f>IF(OR(BG147="",BG147=0),0,7)</f>
        <v>0</v>
      </c>
      <c r="BJ147" s="98"/>
      <c r="BK147" s="98"/>
      <c r="BL147" s="98"/>
      <c r="BM147" s="98"/>
      <c r="BN147" s="98"/>
      <c r="BO147" s="98"/>
      <c r="BP147" s="98"/>
      <c r="BQ147" s="98"/>
      <c r="BR147" s="98"/>
      <c r="BS147" s="98"/>
      <c r="BT147" s="98"/>
      <c r="BU147" s="98"/>
      <c r="BV147" s="98"/>
      <c r="BW147" s="98"/>
      <c r="BX147" s="98"/>
      <c r="BY147" s="98"/>
      <c r="BZ147" s="98"/>
      <c r="CA147" s="98"/>
    </row>
    <row r="148" spans="32:79" ht="13.5" customHeight="1">
      <c r="AF148" s="1472"/>
      <c r="AG148" s="1472"/>
      <c r="AH148" s="1472"/>
      <c r="AI148" s="1472"/>
      <c r="AJ148" s="1472"/>
      <c r="BA148" s="98" t="s">
        <v>423</v>
      </c>
      <c r="BB148" s="123">
        <f>A40</f>
        <v>0</v>
      </c>
      <c r="BC148" s="123">
        <f>C40</f>
        <v>0</v>
      </c>
      <c r="BD148" s="124" t="str">
        <f>IF(AND(OR(($H$40="通常食"),($H$40="キッズ")),NOT(OR($N$40=0,$N$40=""))),$H$40,"")</f>
        <v/>
      </c>
      <c r="BE148" s="123" t="str">
        <f>IF($BG148="","",VLOOKUP($BH148,$BD$160:$BF$188,2,0))</f>
        <v/>
      </c>
      <c r="BF148" s="123" t="str">
        <f>IF($BG148="","",VLOOKUP($BH148,$BD$160:$BF$188,3,0))</f>
        <v/>
      </c>
      <c r="BG148" s="124" t="str">
        <f>IF(AND(OR(($H$40="通常食"),($H$40="キッズ")),NOT(OR($N$40=0,$N$40=""))),$N$40,"")</f>
        <v/>
      </c>
      <c r="BH148" s="113" t="str">
        <f t="shared" si="23"/>
        <v>0小学生</v>
      </c>
      <c r="BI148" s="113">
        <f>IF(OR(BG148="",BG148=0),0,6)</f>
        <v>0</v>
      </c>
      <c r="BJ148" s="98"/>
      <c r="BK148" s="98"/>
      <c r="BL148" s="98"/>
      <c r="BM148" s="98"/>
      <c r="BN148" s="98"/>
      <c r="BO148" s="98"/>
      <c r="BP148" s="98"/>
      <c r="BQ148" s="98"/>
      <c r="BR148" s="98"/>
      <c r="BS148" s="98"/>
      <c r="BT148" s="98"/>
      <c r="BU148" s="98"/>
      <c r="BV148" s="98"/>
      <c r="BW148" s="98"/>
      <c r="BX148" s="98"/>
      <c r="BY148" s="98"/>
      <c r="BZ148" s="98"/>
      <c r="CA148" s="98"/>
    </row>
    <row r="149" spans="32:79" ht="13.5" customHeight="1" thickBot="1">
      <c r="AF149" s="1472"/>
      <c r="AG149" s="1472"/>
      <c r="AH149" s="1472"/>
      <c r="AI149" s="1472"/>
      <c r="AJ149" s="1472"/>
      <c r="BA149" s="125" t="s">
        <v>425</v>
      </c>
      <c r="BB149" s="126">
        <f>A40</f>
        <v>0</v>
      </c>
      <c r="BC149" s="126">
        <f>C40</f>
        <v>0</v>
      </c>
      <c r="BD149" s="124" t="str">
        <f>IF(AND(OR(($H$40="通常食"),($H$40="キッズ")),NOT(OR($P$40=0,$P$40=""))),$H$40,"")</f>
        <v/>
      </c>
      <c r="BE149" s="123" t="str">
        <f>IF($BG149="","",VLOOKUP($BH149,$BD$160:$BF$188,2,0))</f>
        <v/>
      </c>
      <c r="BF149" s="123" t="str">
        <f>IF($BG149="","",VLOOKUP($BH149,$BD$160:$BF$188,3,0))</f>
        <v/>
      </c>
      <c r="BG149" s="124" t="str">
        <f>IF(AND(OR(($H$40="通常食"),($H$40="キッズ")),NOT(OR($P$40=0,$P$40=""))),$P$40,"")</f>
        <v/>
      </c>
      <c r="BH149" s="113" t="str">
        <f t="shared" si="23"/>
        <v>0中学生以上</v>
      </c>
      <c r="BI149" s="113">
        <f>IF(OR(BG149="",BG149=0),0,5)</f>
        <v>0</v>
      </c>
      <c r="BJ149" s="98"/>
      <c r="BK149" s="98"/>
      <c r="BL149" s="98"/>
      <c r="BM149" s="98"/>
      <c r="BN149" s="98"/>
      <c r="BO149" s="98"/>
      <c r="BP149" s="98"/>
      <c r="BQ149" s="98"/>
      <c r="BR149" s="98"/>
      <c r="BS149" s="98"/>
      <c r="BT149" s="98"/>
      <c r="BU149" s="98"/>
      <c r="BV149" s="98"/>
      <c r="BW149" s="98"/>
      <c r="BX149" s="98"/>
      <c r="BY149" s="98"/>
      <c r="BZ149" s="98"/>
      <c r="CA149" s="98"/>
    </row>
    <row r="150" spans="32:79" ht="13.5" customHeight="1">
      <c r="AF150" s="1472"/>
      <c r="AG150" s="1472"/>
      <c r="AH150" s="1472"/>
      <c r="AI150" s="1472"/>
      <c r="AJ150" s="1472"/>
      <c r="BA150" s="98" t="s">
        <v>424</v>
      </c>
      <c r="BB150" s="120">
        <f>A41</f>
        <v>0</v>
      </c>
      <c r="BC150" s="120">
        <f>C41</f>
        <v>0</v>
      </c>
      <c r="BD150" s="120">
        <f>IF(AND(NOT($H$41="通常食"),NOT($H$41="キッズ")),$H$41,"")</f>
        <v>0</v>
      </c>
      <c r="BE150" s="120" t="e">
        <f>IF(NOT($BD150=""),VLOOKUP($BD150,$BD$188:$BF$219,2,0),"")</f>
        <v>#N/A</v>
      </c>
      <c r="BF150" s="120" t="e">
        <f>IF(NOT($BD150=""),VLOOKUP($BD150,$BD$188:$BF$219,3,0),"")</f>
        <v>#N/A</v>
      </c>
      <c r="BG150" s="122">
        <f>IF(AND(NOT($H$41="通常食"),NOT($H$41="キッズ")),$R$41,"")</f>
        <v>0</v>
      </c>
      <c r="BH150" s="113"/>
      <c r="BI150" s="113">
        <f>IF(OR(BG150="",BG150=0),0,4)</f>
        <v>0</v>
      </c>
      <c r="BJ150" s="98"/>
      <c r="BK150" s="98"/>
      <c r="BL150" s="98"/>
      <c r="BM150" s="98"/>
      <c r="BN150" s="98"/>
      <c r="BO150" s="98"/>
      <c r="BP150" s="98"/>
      <c r="BQ150" s="98"/>
      <c r="BR150" s="98"/>
      <c r="BS150" s="98"/>
      <c r="BT150" s="98"/>
      <c r="BU150" s="98"/>
      <c r="BV150" s="98"/>
      <c r="BW150" s="98"/>
      <c r="BX150" s="98"/>
      <c r="BY150" s="98"/>
      <c r="BZ150" s="98"/>
      <c r="CA150" s="98"/>
    </row>
    <row r="151" spans="32:79" ht="13.5" customHeight="1">
      <c r="AF151" s="1472"/>
      <c r="AG151" s="1472"/>
      <c r="AH151" s="1472"/>
      <c r="AI151" s="1472"/>
      <c r="AJ151" s="1472"/>
      <c r="BA151" s="98" t="s">
        <v>422</v>
      </c>
      <c r="BB151" s="123">
        <f>A41</f>
        <v>0</v>
      </c>
      <c r="BC151" s="123">
        <f>C41</f>
        <v>0</v>
      </c>
      <c r="BD151" s="124" t="str">
        <f>IF(AND(OR(($H$41="通常食"),($H$41="キッズ")),NOT(OR($L$41=0,$L$41=""))),$H$41,"")</f>
        <v/>
      </c>
      <c r="BE151" s="123" t="str">
        <f>IF($BG151="","",VLOOKUP($BH151,$BD$160:$BF$188,2,0))</f>
        <v/>
      </c>
      <c r="BF151" s="123" t="str">
        <f>IF($BG151="","",VLOOKUP($BH151,$BD$160:$BF$188,3,0))</f>
        <v/>
      </c>
      <c r="BG151" s="124" t="str">
        <f>IF(AND(OR(($H$41="通常食"),($H$41="キッズ")),NOT(OR($L$41=0,$L$41=""))),$L$41,"")</f>
        <v/>
      </c>
      <c r="BH151" s="113" t="str">
        <f t="shared" si="23"/>
        <v>0幼児</v>
      </c>
      <c r="BI151" s="113">
        <f>IF(OR(BG151="",BG151=0),0,3)</f>
        <v>0</v>
      </c>
      <c r="BJ151" s="98"/>
      <c r="BK151" s="98"/>
      <c r="BL151" s="98"/>
      <c r="BM151" s="98"/>
      <c r="BN151" s="98"/>
      <c r="BO151" s="98"/>
      <c r="BP151" s="98"/>
      <c r="BQ151" s="98"/>
      <c r="BR151" s="98"/>
      <c r="BS151" s="98"/>
      <c r="BT151" s="98"/>
      <c r="BU151" s="98"/>
      <c r="BV151" s="98"/>
      <c r="BW151" s="98"/>
      <c r="BX151" s="98"/>
      <c r="BY151" s="98"/>
      <c r="BZ151" s="98"/>
      <c r="CA151" s="98"/>
    </row>
    <row r="152" spans="32:79" ht="13.5" customHeight="1">
      <c r="AF152" s="1472"/>
      <c r="AG152" s="1472"/>
      <c r="AH152" s="1472"/>
      <c r="AI152" s="1472"/>
      <c r="AJ152" s="1472"/>
      <c r="BA152" s="98" t="s">
        <v>423</v>
      </c>
      <c r="BB152" s="123">
        <f>A41</f>
        <v>0</v>
      </c>
      <c r="BC152" s="123">
        <f>C41</f>
        <v>0</v>
      </c>
      <c r="BD152" s="124" t="str">
        <f>IF(AND(OR(($H$41="通常食"),($H$41="キッズ")),NOT(OR($N$41=0,$N$41=""))),$H$41,"")</f>
        <v/>
      </c>
      <c r="BE152" s="123" t="str">
        <f>IF($BG152="","",VLOOKUP($BH152,$BD$160:$BF$188,2,0))</f>
        <v/>
      </c>
      <c r="BF152" s="123" t="str">
        <f>IF($BG152="","",VLOOKUP($BH152,$BD$160:$BF$188,3,0))</f>
        <v/>
      </c>
      <c r="BG152" s="124" t="str">
        <f>IF(AND(OR(($H$41="通常食"),($H$41="キッズ")),NOT(OR($N$41=0,$N$41=""))),$N$41,"")</f>
        <v/>
      </c>
      <c r="BH152" s="113" t="str">
        <f t="shared" si="23"/>
        <v>0小学生</v>
      </c>
      <c r="BI152" s="113">
        <f>IF(OR(BG152="",BG152=0),0,2)</f>
        <v>0</v>
      </c>
      <c r="BJ152" s="98"/>
      <c r="BK152" s="98"/>
      <c r="BL152" s="98"/>
      <c r="BM152" s="98"/>
      <c r="BN152" s="98"/>
      <c r="BO152" s="98"/>
      <c r="BP152" s="98"/>
      <c r="BQ152" s="98"/>
      <c r="BR152" s="98"/>
      <c r="BS152" s="98"/>
      <c r="BT152" s="98"/>
      <c r="BU152" s="98"/>
      <c r="BV152" s="98"/>
      <c r="BW152" s="98"/>
      <c r="BX152" s="98"/>
      <c r="BY152" s="98"/>
      <c r="BZ152" s="98"/>
      <c r="CA152" s="98"/>
    </row>
    <row r="153" spans="32:79" ht="13.5" customHeight="1" thickBot="1">
      <c r="AF153" s="1472"/>
      <c r="AG153" s="1472"/>
      <c r="AH153" s="1472"/>
      <c r="AI153" s="1472"/>
      <c r="AJ153" s="1472"/>
      <c r="BA153" s="125" t="s">
        <v>425</v>
      </c>
      <c r="BB153" s="126">
        <f>A41</f>
        <v>0</v>
      </c>
      <c r="BC153" s="126">
        <f>C41</f>
        <v>0</v>
      </c>
      <c r="BD153" s="124" t="str">
        <f>IF(AND(OR(($H$41="通常食"),($H$41="キッズ")),NOT(OR($P$41=0,$P$41=""))),$H$41,"")</f>
        <v/>
      </c>
      <c r="BE153" s="123" t="str">
        <f>IF($BG153="","",VLOOKUP($BH153,$BD$160:$BF$188,2,0))</f>
        <v/>
      </c>
      <c r="BF153" s="123" t="str">
        <f>IF($BG153="","",VLOOKUP($BH153,$BD$160:$BF$188,3,0))</f>
        <v/>
      </c>
      <c r="BG153" s="127" t="str">
        <f>IF(AND(OR(($H$41="通常食"),($H$41="キッズ")),NOT(OR($P$41=0,$P$41=""))),$P$41,"")</f>
        <v/>
      </c>
      <c r="BH153" s="113" t="str">
        <f t="shared" si="23"/>
        <v>0中学生以上</v>
      </c>
      <c r="BI153" s="113">
        <f>IF(OR(BG153="",BG153=0),0,1)</f>
        <v>0</v>
      </c>
      <c r="BJ153" s="98"/>
      <c r="BK153" s="98"/>
      <c r="BL153" s="98"/>
      <c r="BM153" s="98"/>
      <c r="BN153" s="98"/>
      <c r="BO153" s="98"/>
      <c r="BP153" s="98"/>
      <c r="BQ153" s="98"/>
      <c r="BR153" s="98"/>
      <c r="BS153" s="98"/>
      <c r="BT153" s="98"/>
      <c r="BU153" s="98"/>
      <c r="BV153" s="98"/>
      <c r="BW153" s="98"/>
      <c r="BX153" s="98"/>
      <c r="BY153" s="98"/>
      <c r="BZ153" s="98"/>
      <c r="CA153" s="98"/>
    </row>
    <row r="154" spans="32:79" ht="13.5" customHeight="1">
      <c r="AF154" s="1472"/>
      <c r="AG154" s="1472"/>
      <c r="AH154" s="1472"/>
      <c r="AI154" s="1472"/>
      <c r="AJ154" s="1472"/>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row>
    <row r="155" spans="32:79" ht="13.5" customHeight="1">
      <c r="AF155" s="1472"/>
      <c r="AG155" s="1472"/>
      <c r="AH155" s="1472"/>
      <c r="AI155" s="1472"/>
      <c r="AJ155" s="1472"/>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row>
    <row r="156" spans="32:79" ht="13.5" customHeight="1">
      <c r="AF156" s="1472"/>
      <c r="AG156" s="1472"/>
      <c r="AH156" s="1472"/>
      <c r="AI156" s="1472"/>
      <c r="AJ156" s="1472"/>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row>
    <row r="157" spans="32:79" ht="13.5" customHeight="1">
      <c r="AF157" s="1472"/>
      <c r="AG157" s="1472"/>
      <c r="AH157" s="1472"/>
      <c r="AI157" s="1472"/>
      <c r="AJ157" s="1472"/>
      <c r="BA157" s="98"/>
      <c r="BB157" s="98"/>
      <c r="BC157" s="98"/>
      <c r="BD157" s="98"/>
      <c r="BE157" s="128" t="s">
        <v>176</v>
      </c>
      <c r="BF157" s="129"/>
      <c r="BG157" s="98"/>
      <c r="BH157" s="98"/>
      <c r="BI157" s="98"/>
      <c r="BJ157" s="98"/>
      <c r="BK157" s="98"/>
      <c r="BL157" s="98"/>
      <c r="BM157" s="98"/>
      <c r="BN157" s="98"/>
      <c r="BO157" s="98"/>
      <c r="BP157" s="98"/>
      <c r="BQ157" s="98"/>
      <c r="BR157" s="98"/>
      <c r="BS157" s="98"/>
      <c r="BT157" s="98"/>
      <c r="BU157" s="98"/>
      <c r="BV157" s="98"/>
      <c r="BW157" s="98"/>
      <c r="BX157" s="98"/>
      <c r="BY157" s="98"/>
      <c r="BZ157" s="98"/>
      <c r="CA157" s="98"/>
    </row>
    <row r="158" spans="32:79" ht="13.5" customHeight="1">
      <c r="AF158" s="1472"/>
      <c r="AG158" s="1472"/>
      <c r="AH158" s="1472"/>
      <c r="AI158" s="1472"/>
      <c r="AJ158" s="1472"/>
      <c r="BA158" s="98"/>
      <c r="BB158" s="98"/>
      <c r="BC158" s="98"/>
      <c r="BD158" s="98"/>
      <c r="BE158" s="130"/>
      <c r="BF158" s="131"/>
      <c r="BG158" s="98"/>
      <c r="BH158" s="98"/>
      <c r="BI158" s="98"/>
      <c r="BJ158" s="98"/>
      <c r="BK158" s="98"/>
      <c r="BL158" s="98"/>
      <c r="BM158" s="98"/>
      <c r="BN158" s="98"/>
      <c r="BO158" s="98"/>
      <c r="BP158" s="98"/>
      <c r="BQ158" s="98"/>
      <c r="BR158" s="98"/>
      <c r="BS158" s="98"/>
      <c r="BT158" s="98"/>
      <c r="BU158" s="98"/>
      <c r="BV158" s="98"/>
      <c r="BW158" s="98"/>
      <c r="BX158" s="98"/>
      <c r="BY158" s="98"/>
      <c r="BZ158" s="98"/>
      <c r="CA158" s="98"/>
    </row>
    <row r="159" spans="32:79" ht="13.5" customHeight="1">
      <c r="AF159" s="1472"/>
      <c r="AG159" s="1472"/>
      <c r="AH159" s="1472"/>
      <c r="AI159" s="1472"/>
      <c r="AJ159" s="1472"/>
      <c r="BA159" s="98"/>
      <c r="BB159" s="98"/>
      <c r="BC159" s="132"/>
      <c r="BD159" s="133"/>
      <c r="BE159" s="134" t="s">
        <v>194</v>
      </c>
      <c r="BF159" s="135"/>
      <c r="BG159" s="98"/>
      <c r="BH159" s="98"/>
      <c r="BI159" s="98"/>
      <c r="BJ159" s="98"/>
      <c r="BK159" s="98"/>
      <c r="BL159" s="98"/>
      <c r="BM159" s="98"/>
      <c r="BN159" s="98"/>
      <c r="BO159" s="98"/>
      <c r="BP159" s="98"/>
      <c r="BQ159" s="98"/>
      <c r="BR159" s="98"/>
      <c r="BS159" s="98"/>
      <c r="BT159" s="98"/>
      <c r="BU159" s="98"/>
      <c r="BV159" s="98"/>
      <c r="BW159" s="98"/>
      <c r="BX159" s="98"/>
      <c r="BY159" s="98"/>
      <c r="BZ159" s="98"/>
      <c r="CA159" s="98"/>
    </row>
    <row r="160" spans="32:79" ht="13.5" customHeight="1">
      <c r="AF160" s="1472"/>
      <c r="AG160" s="1472"/>
      <c r="AH160" s="1472"/>
      <c r="AI160" s="1472"/>
      <c r="AJ160" s="1472"/>
      <c r="BA160" s="98"/>
      <c r="BB160" s="98"/>
      <c r="BC160" s="136"/>
      <c r="BD160" s="133" t="s">
        <v>431</v>
      </c>
      <c r="BE160" s="137" t="s">
        <v>197</v>
      </c>
      <c r="BF160" s="135">
        <v>530</v>
      </c>
      <c r="BG160" s="98"/>
      <c r="BH160" s="98"/>
      <c r="BI160" s="98"/>
      <c r="BJ160" s="98"/>
      <c r="BK160" s="98"/>
      <c r="BL160" s="98"/>
      <c r="BM160" s="98"/>
      <c r="BN160" s="98"/>
      <c r="BO160" s="98"/>
      <c r="BP160" s="98"/>
      <c r="BQ160" s="98"/>
      <c r="BR160" s="98"/>
      <c r="BS160" s="98"/>
      <c r="BT160" s="98"/>
      <c r="BU160" s="98"/>
      <c r="BV160" s="98"/>
      <c r="BW160" s="98"/>
      <c r="BX160" s="98"/>
      <c r="BY160" s="98"/>
      <c r="BZ160" s="98"/>
      <c r="CA160" s="98"/>
    </row>
    <row r="161" spans="32:79" ht="13.5" customHeight="1">
      <c r="AF161" s="1472"/>
      <c r="AG161" s="1472"/>
      <c r="AH161" s="1472"/>
      <c r="AI161" s="1472"/>
      <c r="AJ161" s="1472"/>
      <c r="BA161" s="98"/>
      <c r="BB161" s="98"/>
      <c r="BC161" s="136"/>
      <c r="BD161" s="133" t="s">
        <v>432</v>
      </c>
      <c r="BE161" s="137" t="s">
        <v>199</v>
      </c>
      <c r="BF161" s="135">
        <v>590</v>
      </c>
      <c r="BG161" s="98"/>
      <c r="BH161" s="98"/>
      <c r="BI161" s="98"/>
      <c r="BJ161" s="98"/>
      <c r="BK161" s="98"/>
      <c r="BL161" s="98"/>
      <c r="BM161" s="98"/>
      <c r="BN161" s="98"/>
      <c r="BO161" s="98"/>
      <c r="BP161" s="98"/>
      <c r="BQ161" s="98"/>
      <c r="BR161" s="98"/>
      <c r="BS161" s="98"/>
      <c r="BT161" s="98"/>
      <c r="BU161" s="98"/>
      <c r="BV161" s="98"/>
      <c r="BW161" s="98"/>
      <c r="BX161" s="98"/>
      <c r="BY161" s="98"/>
      <c r="BZ161" s="98"/>
      <c r="CA161" s="98"/>
    </row>
    <row r="162" spans="32:79" ht="13.5" customHeight="1">
      <c r="AF162" s="1472"/>
      <c r="AG162" s="1472"/>
      <c r="AH162" s="1472"/>
      <c r="AI162" s="1472"/>
      <c r="AJ162" s="1472"/>
      <c r="BA162" s="98"/>
      <c r="BB162" s="98"/>
      <c r="BC162" s="136"/>
      <c r="BD162" s="133" t="s">
        <v>433</v>
      </c>
      <c r="BE162" s="137" t="s">
        <v>200</v>
      </c>
      <c r="BF162" s="135">
        <v>640</v>
      </c>
      <c r="BG162" s="98"/>
      <c r="BH162" s="98"/>
      <c r="BI162" s="98"/>
      <c r="BJ162" s="98"/>
      <c r="BK162" s="98"/>
      <c r="BL162" s="98"/>
      <c r="BM162" s="98"/>
      <c r="BN162" s="98"/>
      <c r="BO162" s="98"/>
      <c r="BP162" s="98"/>
      <c r="BQ162" s="98"/>
      <c r="BR162" s="98"/>
      <c r="BS162" s="98"/>
      <c r="BT162" s="98"/>
      <c r="BU162" s="98"/>
      <c r="BV162" s="98"/>
      <c r="BW162" s="98"/>
      <c r="BX162" s="98"/>
      <c r="BY162" s="98"/>
      <c r="BZ162" s="98"/>
      <c r="CA162" s="98"/>
    </row>
    <row r="163" spans="32:79" ht="13.5" customHeight="1">
      <c r="AF163" s="1472"/>
      <c r="AG163" s="1472"/>
      <c r="AH163" s="1472"/>
      <c r="AI163" s="1472"/>
      <c r="AJ163" s="1472"/>
      <c r="BA163" s="98"/>
      <c r="BB163" s="98"/>
      <c r="BC163" s="136"/>
      <c r="BD163" s="133" t="s">
        <v>434</v>
      </c>
      <c r="BE163" s="137" t="s">
        <v>201</v>
      </c>
      <c r="BF163" s="135">
        <v>630</v>
      </c>
      <c r="BG163" s="98"/>
      <c r="BH163" s="98"/>
      <c r="BI163" s="98"/>
      <c r="BJ163" s="98"/>
      <c r="BK163" s="98"/>
      <c r="BL163" s="98"/>
      <c r="BM163" s="98"/>
      <c r="BN163" s="98"/>
      <c r="BO163" s="98"/>
      <c r="BP163" s="98"/>
      <c r="BQ163" s="98"/>
      <c r="BR163" s="98"/>
      <c r="BS163" s="98"/>
      <c r="BT163" s="98"/>
      <c r="BU163" s="98"/>
      <c r="BV163" s="98"/>
      <c r="BW163" s="98"/>
      <c r="BX163" s="98"/>
      <c r="BY163" s="98"/>
      <c r="BZ163" s="98"/>
      <c r="CA163" s="98"/>
    </row>
    <row r="164" spans="32:79" ht="13.5" customHeight="1">
      <c r="AF164" s="1472"/>
      <c r="AG164" s="1472"/>
      <c r="AH164" s="1472"/>
      <c r="AI164" s="1472"/>
      <c r="AJ164" s="1472"/>
      <c r="BA164" s="98"/>
      <c r="BB164" s="98"/>
      <c r="BC164" s="136"/>
      <c r="BD164" s="133" t="s">
        <v>435</v>
      </c>
      <c r="BE164" s="137" t="s">
        <v>202</v>
      </c>
      <c r="BF164" s="135">
        <v>700</v>
      </c>
      <c r="BG164" s="98"/>
      <c r="BH164" s="98"/>
      <c r="BI164" s="98"/>
      <c r="BJ164" s="98"/>
      <c r="BK164" s="98"/>
      <c r="BL164" s="98"/>
      <c r="BM164" s="98"/>
      <c r="BN164" s="98"/>
      <c r="BO164" s="98"/>
      <c r="BP164" s="98"/>
      <c r="BQ164" s="98"/>
      <c r="BR164" s="98"/>
      <c r="BS164" s="98"/>
      <c r="BT164" s="98"/>
      <c r="BU164" s="98"/>
      <c r="BV164" s="98"/>
      <c r="BW164" s="98"/>
      <c r="BX164" s="98"/>
      <c r="BY164" s="98"/>
      <c r="BZ164" s="98"/>
      <c r="CA164" s="98"/>
    </row>
    <row r="165" spans="32:79" ht="13.5" customHeight="1">
      <c r="AF165" s="1472"/>
      <c r="AG165" s="1472"/>
      <c r="AH165" s="1472"/>
      <c r="AI165" s="1472"/>
      <c r="AJ165" s="1472"/>
      <c r="BA165" s="98"/>
      <c r="BB165" s="98"/>
      <c r="BC165" s="136"/>
      <c r="BD165" s="133" t="s">
        <v>436</v>
      </c>
      <c r="BE165" s="137" t="s">
        <v>204</v>
      </c>
      <c r="BF165" s="135">
        <v>750</v>
      </c>
      <c r="BG165" s="98"/>
      <c r="BH165" s="98"/>
      <c r="BI165" s="98"/>
      <c r="BJ165" s="98"/>
      <c r="BK165" s="98"/>
      <c r="BL165" s="98"/>
      <c r="BM165" s="98"/>
      <c r="BN165" s="98"/>
      <c r="BO165" s="98"/>
      <c r="BP165" s="98"/>
      <c r="BQ165" s="98"/>
      <c r="BR165" s="98"/>
      <c r="BS165" s="98"/>
      <c r="BT165" s="98"/>
      <c r="BU165" s="98"/>
      <c r="BV165" s="98"/>
      <c r="BW165" s="98"/>
      <c r="BX165" s="98"/>
      <c r="BY165" s="98"/>
      <c r="BZ165" s="98"/>
      <c r="CA165" s="98"/>
    </row>
    <row r="166" spans="32:79" ht="13.5" customHeight="1">
      <c r="AF166" s="1472"/>
      <c r="AG166" s="1472"/>
      <c r="AH166" s="1472"/>
      <c r="AI166" s="1472"/>
      <c r="AJ166" s="1472"/>
      <c r="BA166" s="98"/>
      <c r="BB166" s="98"/>
      <c r="BC166" s="136"/>
      <c r="BD166" s="133" t="s">
        <v>437</v>
      </c>
      <c r="BE166" s="137" t="s">
        <v>207</v>
      </c>
      <c r="BF166" s="135">
        <v>520</v>
      </c>
      <c r="BG166" s="98"/>
      <c r="BH166" s="98"/>
      <c r="BI166" s="98"/>
      <c r="BJ166" s="98"/>
      <c r="BK166" s="98"/>
      <c r="BL166" s="98"/>
      <c r="BM166" s="98"/>
      <c r="BN166" s="98"/>
      <c r="BO166" s="98"/>
      <c r="BP166" s="98"/>
      <c r="BQ166" s="98"/>
      <c r="BR166" s="98"/>
      <c r="BS166" s="98"/>
      <c r="BT166" s="98"/>
      <c r="BU166" s="98"/>
      <c r="BV166" s="98"/>
      <c r="BW166" s="98"/>
      <c r="BX166" s="98"/>
      <c r="BY166" s="98"/>
      <c r="BZ166" s="98"/>
      <c r="CA166" s="98"/>
    </row>
    <row r="167" spans="32:79" ht="13.5" customHeight="1">
      <c r="AF167" s="1472"/>
      <c r="AG167" s="1472"/>
      <c r="AH167" s="1472"/>
      <c r="AI167" s="1472"/>
      <c r="AJ167" s="1472"/>
      <c r="BA167" s="98"/>
      <c r="BB167" s="98"/>
      <c r="BC167" s="136"/>
      <c r="BD167" s="133" t="s">
        <v>438</v>
      </c>
      <c r="BE167" s="137" t="s">
        <v>210</v>
      </c>
      <c r="BF167" s="135">
        <v>570</v>
      </c>
      <c r="BG167" s="98"/>
      <c r="BH167" s="98"/>
      <c r="BI167" s="98"/>
      <c r="BJ167" s="98"/>
      <c r="BK167" s="98"/>
      <c r="BL167" s="98"/>
      <c r="BM167" s="98"/>
      <c r="BN167" s="98"/>
      <c r="BO167" s="98"/>
      <c r="BP167" s="98"/>
      <c r="BQ167" s="98"/>
      <c r="BR167" s="98"/>
      <c r="BS167" s="98"/>
      <c r="BT167" s="98"/>
      <c r="BU167" s="98"/>
      <c r="BV167" s="98"/>
      <c r="BW167" s="98"/>
      <c r="BX167" s="98"/>
      <c r="BY167" s="98"/>
      <c r="BZ167" s="98"/>
      <c r="CA167" s="98"/>
    </row>
    <row r="168" spans="32:79" ht="13.5" customHeight="1">
      <c r="AF168" s="1472"/>
      <c r="AG168" s="1472"/>
      <c r="AH168" s="1472"/>
      <c r="AI168" s="1472"/>
      <c r="AJ168" s="1472"/>
      <c r="BA168" s="98"/>
      <c r="BB168" s="98"/>
      <c r="BC168" s="136"/>
      <c r="BD168" s="133" t="s">
        <v>439</v>
      </c>
      <c r="BE168" s="137" t="s">
        <v>213</v>
      </c>
      <c r="BF168" s="135">
        <v>620</v>
      </c>
      <c r="BG168" s="98"/>
      <c r="BH168" s="98"/>
      <c r="BI168" s="98"/>
      <c r="BJ168" s="98"/>
      <c r="BK168" s="98"/>
      <c r="BL168" s="98"/>
      <c r="BM168" s="98"/>
      <c r="BN168" s="98"/>
      <c r="BO168" s="98"/>
      <c r="BP168" s="98"/>
      <c r="BQ168" s="98"/>
      <c r="BR168" s="98"/>
      <c r="BS168" s="98"/>
      <c r="BT168" s="98"/>
      <c r="BU168" s="98"/>
      <c r="BV168" s="98"/>
      <c r="BW168" s="98"/>
      <c r="BX168" s="98"/>
      <c r="BY168" s="98"/>
      <c r="BZ168" s="98"/>
      <c r="CA168" s="98"/>
    </row>
    <row r="169" spans="32:79" ht="13.5" customHeight="1">
      <c r="AF169" s="1472"/>
      <c r="AG169" s="1472"/>
      <c r="AH169" s="1472"/>
      <c r="AI169" s="1472"/>
      <c r="AJ169" s="1472"/>
      <c r="BA169" s="98"/>
      <c r="BB169" s="98"/>
      <c r="BC169" s="132"/>
      <c r="BD169" s="138"/>
      <c r="BE169" s="134" t="s">
        <v>215</v>
      </c>
      <c r="BF169" s="135"/>
      <c r="BG169" s="98"/>
      <c r="BH169" s="98"/>
      <c r="BI169" s="98"/>
      <c r="BJ169" s="98"/>
      <c r="BK169" s="98"/>
      <c r="BL169" s="98"/>
      <c r="BM169" s="98"/>
      <c r="BN169" s="98"/>
      <c r="BO169" s="98"/>
      <c r="BP169" s="98"/>
      <c r="BQ169" s="98"/>
      <c r="BR169" s="98"/>
      <c r="BS169" s="98"/>
      <c r="BT169" s="98"/>
      <c r="BU169" s="98"/>
      <c r="BV169" s="98"/>
      <c r="BW169" s="98"/>
      <c r="BX169" s="98"/>
      <c r="BY169" s="98"/>
      <c r="BZ169" s="98"/>
      <c r="CA169" s="98"/>
    </row>
    <row r="170" spans="32:79" ht="13.5" customHeight="1">
      <c r="AF170" s="1472"/>
      <c r="AG170" s="1472"/>
      <c r="AH170" s="1472"/>
      <c r="AI170" s="1472"/>
      <c r="AJ170" s="1472"/>
      <c r="BA170" s="98"/>
      <c r="BB170" s="98"/>
      <c r="BC170" s="136"/>
      <c r="BD170" s="138" t="s">
        <v>2877</v>
      </c>
      <c r="BE170" s="137" t="s">
        <v>2886</v>
      </c>
      <c r="BF170" s="135">
        <v>520</v>
      </c>
      <c r="BG170" s="98"/>
      <c r="BH170" s="98"/>
      <c r="BI170" s="98"/>
      <c r="BJ170" s="98"/>
      <c r="BK170" s="98"/>
      <c r="BL170" s="98"/>
      <c r="BM170" s="98"/>
      <c r="BN170" s="98"/>
      <c r="BO170" s="98"/>
      <c r="BP170" s="98"/>
      <c r="BQ170" s="98"/>
      <c r="BR170" s="98"/>
      <c r="BS170" s="98"/>
      <c r="BT170" s="98"/>
      <c r="BU170" s="98"/>
      <c r="BV170" s="98"/>
      <c r="BW170" s="98"/>
      <c r="BX170" s="98"/>
      <c r="BY170" s="98"/>
      <c r="BZ170" s="98"/>
      <c r="CA170" s="98"/>
    </row>
    <row r="171" spans="32:79" ht="13.5" customHeight="1">
      <c r="AF171" s="1472"/>
      <c r="AG171" s="1472"/>
      <c r="AH171" s="1472"/>
      <c r="AI171" s="1472"/>
      <c r="AJ171" s="1472"/>
      <c r="BA171" s="98"/>
      <c r="BB171" s="98"/>
      <c r="BC171" s="136"/>
      <c r="BD171" s="138" t="s">
        <v>2878</v>
      </c>
      <c r="BE171" s="137" t="s">
        <v>2887</v>
      </c>
      <c r="BF171" s="135">
        <v>550</v>
      </c>
      <c r="BG171" s="98"/>
      <c r="BH171" s="98"/>
      <c r="BI171" s="98"/>
      <c r="BJ171" s="98"/>
      <c r="BK171" s="98"/>
      <c r="BL171" s="98"/>
      <c r="BM171" s="98"/>
      <c r="BN171" s="98"/>
      <c r="BO171" s="98"/>
      <c r="BP171" s="98"/>
      <c r="BQ171" s="98"/>
      <c r="BR171" s="98"/>
      <c r="BS171" s="98"/>
      <c r="BT171" s="98"/>
      <c r="BU171" s="98"/>
      <c r="BV171" s="98"/>
      <c r="BW171" s="98"/>
      <c r="BX171" s="98"/>
      <c r="BY171" s="98"/>
      <c r="BZ171" s="98"/>
      <c r="CA171" s="98"/>
    </row>
    <row r="172" spans="32:79" ht="13.5" customHeight="1">
      <c r="AF172" s="1472"/>
      <c r="AG172" s="1472"/>
      <c r="AH172" s="1472"/>
      <c r="AI172" s="1472"/>
      <c r="AJ172" s="1472"/>
      <c r="BA172" s="98"/>
      <c r="BB172" s="98"/>
      <c r="BC172" s="136"/>
      <c r="BD172" s="138" t="s">
        <v>2880</v>
      </c>
      <c r="BE172" s="137" t="s">
        <v>2888</v>
      </c>
      <c r="BF172" s="135">
        <v>580</v>
      </c>
      <c r="BG172" s="98"/>
      <c r="BH172" s="98"/>
      <c r="BI172" s="98"/>
      <c r="BJ172" s="98"/>
      <c r="BK172" s="98"/>
      <c r="BL172" s="98"/>
      <c r="BM172" s="98"/>
      <c r="BN172" s="98"/>
      <c r="BO172" s="98"/>
      <c r="BP172" s="98"/>
      <c r="BQ172" s="98"/>
      <c r="BR172" s="98"/>
      <c r="BS172" s="98"/>
      <c r="BT172" s="98"/>
      <c r="BU172" s="98"/>
      <c r="BV172" s="98"/>
      <c r="BW172" s="98"/>
      <c r="BX172" s="98"/>
      <c r="BY172" s="98"/>
      <c r="BZ172" s="98"/>
      <c r="CA172" s="98"/>
    </row>
    <row r="173" spans="32:79" ht="13.5" customHeight="1">
      <c r="AF173" s="1472"/>
      <c r="AG173" s="1472"/>
      <c r="AH173" s="1472"/>
      <c r="AI173" s="1472"/>
      <c r="AJ173" s="1472"/>
      <c r="BA173" s="98"/>
      <c r="BB173" s="98"/>
      <c r="BC173" s="136"/>
      <c r="BD173" s="138" t="s">
        <v>2879</v>
      </c>
      <c r="BE173" s="137" t="s">
        <v>2889</v>
      </c>
      <c r="BF173" s="135">
        <v>620</v>
      </c>
      <c r="BG173" s="98"/>
      <c r="BH173" s="98"/>
      <c r="BI173" s="98"/>
      <c r="BJ173" s="98"/>
      <c r="BK173" s="98"/>
      <c r="BL173" s="98"/>
      <c r="BM173" s="98"/>
      <c r="BN173" s="98"/>
      <c r="BO173" s="98"/>
      <c r="BP173" s="98"/>
      <c r="BQ173" s="98"/>
      <c r="BR173" s="98"/>
      <c r="BS173" s="98"/>
      <c r="BT173" s="98"/>
      <c r="BU173" s="98"/>
      <c r="BV173" s="98"/>
      <c r="BW173" s="98"/>
      <c r="BX173" s="98"/>
      <c r="BY173" s="98"/>
      <c r="BZ173" s="98"/>
      <c r="CA173" s="98"/>
    </row>
    <row r="174" spans="32:79" ht="13.5" customHeight="1">
      <c r="AF174" s="1472"/>
      <c r="AG174" s="1472"/>
      <c r="AH174" s="1472"/>
      <c r="AI174" s="1472"/>
      <c r="AJ174" s="1472"/>
      <c r="BA174" s="98"/>
      <c r="BB174" s="98"/>
      <c r="BC174" s="136"/>
      <c r="BD174" s="138" t="s">
        <v>2881</v>
      </c>
      <c r="BE174" s="137" t="s">
        <v>2890</v>
      </c>
      <c r="BF174" s="135">
        <v>650</v>
      </c>
      <c r="BG174" s="98"/>
      <c r="BH174" s="98"/>
      <c r="BI174" s="98"/>
      <c r="BJ174" s="98"/>
      <c r="BK174" s="98"/>
      <c r="BL174" s="98"/>
      <c r="BM174" s="98"/>
      <c r="BN174" s="98"/>
      <c r="BO174" s="98"/>
      <c r="BP174" s="98"/>
      <c r="BQ174" s="98"/>
      <c r="BR174" s="98"/>
      <c r="BS174" s="98"/>
      <c r="BT174" s="98"/>
      <c r="BU174" s="98"/>
      <c r="BV174" s="98"/>
      <c r="BW174" s="98"/>
      <c r="BX174" s="98"/>
      <c r="BY174" s="98"/>
      <c r="BZ174" s="98"/>
      <c r="CA174" s="98"/>
    </row>
    <row r="175" spans="32:79" ht="13.5" customHeight="1">
      <c r="AF175" s="1472"/>
      <c r="AG175" s="1472"/>
      <c r="AH175" s="1472"/>
      <c r="AI175" s="1472"/>
      <c r="AJ175" s="1472"/>
      <c r="BA175" s="98"/>
      <c r="BB175" s="98"/>
      <c r="BC175" s="136"/>
      <c r="BD175" s="138" t="s">
        <v>2882</v>
      </c>
      <c r="BE175" s="137" t="s">
        <v>2891</v>
      </c>
      <c r="BF175" s="135">
        <v>680</v>
      </c>
      <c r="BG175" s="98"/>
      <c r="BH175" s="98"/>
      <c r="BI175" s="98"/>
      <c r="BJ175" s="98"/>
      <c r="BK175" s="98"/>
      <c r="BL175" s="98"/>
      <c r="BM175" s="98"/>
      <c r="BN175" s="98"/>
      <c r="BO175" s="98"/>
      <c r="BP175" s="98"/>
      <c r="BQ175" s="98"/>
      <c r="BR175" s="98"/>
      <c r="BS175" s="98"/>
      <c r="BT175" s="98"/>
      <c r="BU175" s="98"/>
      <c r="BV175" s="98"/>
      <c r="BW175" s="98"/>
      <c r="BX175" s="98"/>
      <c r="BY175" s="98"/>
      <c r="BZ175" s="98"/>
      <c r="CA175" s="98"/>
    </row>
    <row r="176" spans="32:79" ht="13.5" customHeight="1">
      <c r="AF176" s="1472"/>
      <c r="AG176" s="1472"/>
      <c r="AH176" s="1472"/>
      <c r="AI176" s="1472"/>
      <c r="AJ176" s="1472"/>
      <c r="BA176" s="98"/>
      <c r="BB176" s="98"/>
      <c r="BC176" s="136"/>
      <c r="BD176" s="138" t="s">
        <v>2883</v>
      </c>
      <c r="BE176" s="137" t="s">
        <v>2892</v>
      </c>
      <c r="BF176" s="135">
        <v>510</v>
      </c>
      <c r="BG176" s="98"/>
      <c r="BH176" s="98"/>
      <c r="BI176" s="98"/>
      <c r="BJ176" s="98"/>
      <c r="BK176" s="98"/>
      <c r="BL176" s="98"/>
      <c r="BM176" s="98"/>
      <c r="BN176" s="98"/>
      <c r="BO176" s="98"/>
      <c r="BP176" s="98"/>
      <c r="BQ176" s="98"/>
      <c r="BR176" s="98"/>
      <c r="BS176" s="98"/>
      <c r="BT176" s="98"/>
      <c r="BU176" s="98"/>
      <c r="BV176" s="98"/>
      <c r="BW176" s="98"/>
      <c r="BX176" s="98"/>
      <c r="BY176" s="98"/>
      <c r="BZ176" s="98"/>
      <c r="CA176" s="98"/>
    </row>
    <row r="177" spans="32:79" ht="13.5" customHeight="1">
      <c r="AF177" s="1472"/>
      <c r="AG177" s="1472"/>
      <c r="AH177" s="1472"/>
      <c r="AI177" s="1472"/>
      <c r="AJ177" s="1472"/>
      <c r="BA177" s="98"/>
      <c r="BB177" s="98"/>
      <c r="BC177" s="136"/>
      <c r="BD177" s="138" t="s">
        <v>2884</v>
      </c>
      <c r="BE177" s="137" t="s">
        <v>2893</v>
      </c>
      <c r="BF177" s="135">
        <v>540</v>
      </c>
      <c r="BG177" s="98"/>
      <c r="BH177" s="98"/>
      <c r="BI177" s="98"/>
      <c r="BJ177" s="98"/>
      <c r="BK177" s="98"/>
      <c r="BL177" s="98"/>
      <c r="BM177" s="98"/>
      <c r="BN177" s="98"/>
      <c r="BO177" s="98"/>
      <c r="BP177" s="98"/>
      <c r="BQ177" s="98"/>
      <c r="BR177" s="98"/>
      <c r="BS177" s="98"/>
      <c r="BT177" s="98"/>
      <c r="BU177" s="98"/>
      <c r="BV177" s="98"/>
      <c r="BW177" s="98"/>
      <c r="BX177" s="98"/>
      <c r="BY177" s="98"/>
      <c r="BZ177" s="98"/>
      <c r="CA177" s="98"/>
    </row>
    <row r="178" spans="32:79" ht="13.5" customHeight="1">
      <c r="AF178" s="1472"/>
      <c r="AG178" s="1472"/>
      <c r="AH178" s="1472"/>
      <c r="AI178" s="1472"/>
      <c r="AJ178" s="1472"/>
      <c r="BA178" s="98"/>
      <c r="BB178" s="98"/>
      <c r="BC178" s="136"/>
      <c r="BD178" s="138" t="s">
        <v>2885</v>
      </c>
      <c r="BE178" s="137" t="s">
        <v>2894</v>
      </c>
      <c r="BF178" s="135">
        <v>570</v>
      </c>
      <c r="BG178" s="98"/>
      <c r="BH178" s="98"/>
      <c r="BI178" s="98"/>
      <c r="BJ178" s="98"/>
      <c r="BK178" s="98"/>
      <c r="BL178" s="98"/>
      <c r="BM178" s="98"/>
      <c r="BN178" s="98"/>
      <c r="BO178" s="98"/>
      <c r="BP178" s="98"/>
      <c r="BQ178" s="98"/>
      <c r="BR178" s="98"/>
      <c r="BS178" s="98"/>
      <c r="BT178" s="98"/>
      <c r="BU178" s="98"/>
      <c r="BV178" s="98"/>
      <c r="BW178" s="98"/>
      <c r="BX178" s="98"/>
      <c r="BY178" s="98"/>
      <c r="BZ178" s="98"/>
      <c r="CA178" s="98"/>
    </row>
    <row r="179" spans="32:79" ht="13.5" customHeight="1">
      <c r="AF179" s="1472"/>
      <c r="AG179" s="1472"/>
      <c r="AH179" s="1472"/>
      <c r="AI179" s="1472"/>
      <c r="AJ179" s="1472"/>
      <c r="BA179" s="98"/>
      <c r="BB179" s="98"/>
      <c r="BC179" s="139"/>
      <c r="BD179" s="138"/>
      <c r="BE179" s="134"/>
      <c r="BF179" s="135"/>
      <c r="BG179" s="98"/>
      <c r="BH179" s="98"/>
      <c r="BI179" s="98"/>
      <c r="BJ179" s="98"/>
      <c r="BK179" s="98"/>
      <c r="BL179" s="98"/>
      <c r="BM179" s="98"/>
      <c r="BN179" s="98"/>
      <c r="BO179" s="98"/>
      <c r="BP179" s="98"/>
      <c r="BQ179" s="98"/>
      <c r="BR179" s="98"/>
      <c r="BS179" s="98"/>
      <c r="BT179" s="98"/>
      <c r="BU179" s="98"/>
      <c r="BV179" s="98"/>
      <c r="BW179" s="98"/>
      <c r="BX179" s="98"/>
      <c r="BY179" s="98"/>
      <c r="BZ179" s="98"/>
      <c r="CA179" s="98"/>
    </row>
    <row r="180" spans="32:79" ht="13.5" customHeight="1">
      <c r="AF180" s="1472"/>
      <c r="AG180" s="1472"/>
      <c r="AH180" s="1472"/>
      <c r="AI180" s="1472"/>
      <c r="AJ180" s="1472"/>
      <c r="BA180" s="98"/>
      <c r="BB180" s="98"/>
      <c r="BC180" s="136"/>
      <c r="BD180" s="138"/>
      <c r="BE180" s="137"/>
      <c r="BF180" s="135"/>
      <c r="BG180" s="98"/>
      <c r="BH180" s="98"/>
      <c r="BI180" s="98"/>
      <c r="BJ180" s="98"/>
      <c r="BK180" s="98"/>
      <c r="BL180" s="98"/>
      <c r="BM180" s="98"/>
      <c r="BN180" s="98"/>
      <c r="BO180" s="98"/>
      <c r="BP180" s="98"/>
      <c r="BQ180" s="98"/>
      <c r="BR180" s="98"/>
      <c r="BS180" s="98"/>
      <c r="BT180" s="98"/>
      <c r="BU180" s="98"/>
      <c r="BV180" s="98"/>
      <c r="BW180" s="98"/>
      <c r="BX180" s="98"/>
      <c r="BY180" s="98"/>
      <c r="BZ180" s="98"/>
      <c r="CA180" s="98"/>
    </row>
    <row r="181" spans="32:79" ht="13.5" customHeight="1">
      <c r="AF181" s="1472"/>
      <c r="AG181" s="1472"/>
      <c r="AH181" s="1472"/>
      <c r="AI181" s="1472"/>
      <c r="AJ181" s="1472"/>
      <c r="BA181" s="98"/>
      <c r="BB181" s="98"/>
      <c r="BC181" s="136"/>
      <c r="BD181" s="138"/>
      <c r="BE181" s="137"/>
      <c r="BF181" s="135"/>
      <c r="BG181" s="98"/>
      <c r="BH181" s="98"/>
      <c r="BI181" s="98"/>
      <c r="BJ181" s="98"/>
      <c r="BK181" s="98"/>
      <c r="BL181" s="98"/>
      <c r="BM181" s="98"/>
      <c r="BN181" s="98"/>
      <c r="BO181" s="98"/>
      <c r="BP181" s="98"/>
      <c r="BQ181" s="98"/>
      <c r="BR181" s="98"/>
      <c r="BS181" s="98"/>
      <c r="BT181" s="98"/>
      <c r="BU181" s="98"/>
      <c r="BV181" s="98"/>
      <c r="BW181" s="98"/>
      <c r="BX181" s="98"/>
      <c r="BY181" s="98"/>
      <c r="BZ181" s="98"/>
      <c r="CA181" s="98"/>
    </row>
    <row r="182" spans="32:79" ht="13.5" customHeight="1">
      <c r="AF182" s="1472"/>
      <c r="AG182" s="1472"/>
      <c r="AH182" s="1472"/>
      <c r="AI182" s="1472"/>
      <c r="AJ182" s="1472"/>
      <c r="BA182" s="98"/>
      <c r="BB182" s="98"/>
      <c r="BC182" s="136"/>
      <c r="BD182" s="138"/>
      <c r="BE182" s="137"/>
      <c r="BF182" s="135"/>
      <c r="BG182" s="98"/>
      <c r="BH182" s="98"/>
      <c r="BI182" s="98"/>
      <c r="BJ182" s="98"/>
      <c r="BK182" s="98"/>
      <c r="BL182" s="98"/>
      <c r="BM182" s="98"/>
      <c r="BN182" s="98"/>
      <c r="BO182" s="98"/>
      <c r="BP182" s="98"/>
      <c r="BQ182" s="98"/>
      <c r="BR182" s="98"/>
      <c r="BS182" s="98"/>
      <c r="BT182" s="98"/>
      <c r="BU182" s="98"/>
      <c r="BV182" s="98"/>
      <c r="BW182" s="98"/>
      <c r="BX182" s="98"/>
      <c r="BY182" s="98"/>
      <c r="BZ182" s="98"/>
      <c r="CA182" s="98"/>
    </row>
    <row r="183" spans="32:79" ht="13.5" customHeight="1">
      <c r="AF183" s="1472"/>
      <c r="AG183" s="1472"/>
      <c r="AH183" s="1472"/>
      <c r="AI183" s="1472"/>
      <c r="AJ183" s="1472"/>
      <c r="BA183" s="98"/>
      <c r="BB183" s="98"/>
      <c r="BC183" s="136"/>
      <c r="BD183" s="138"/>
      <c r="BE183" s="137"/>
      <c r="BF183" s="135"/>
      <c r="BG183" s="98"/>
      <c r="BH183" s="98"/>
      <c r="BI183" s="98"/>
      <c r="BJ183" s="98"/>
      <c r="BK183" s="98"/>
      <c r="BL183" s="98"/>
      <c r="BM183" s="98"/>
      <c r="BN183" s="98"/>
      <c r="BO183" s="98"/>
      <c r="BP183" s="98"/>
      <c r="BQ183" s="98"/>
      <c r="BR183" s="98"/>
      <c r="BS183" s="98"/>
      <c r="BT183" s="98"/>
      <c r="BU183" s="98"/>
      <c r="BV183" s="98"/>
      <c r="BW183" s="98"/>
      <c r="BX183" s="98"/>
      <c r="BY183" s="98"/>
      <c r="BZ183" s="98"/>
      <c r="CA183" s="98"/>
    </row>
    <row r="184" spans="32:79" ht="13.5" customHeight="1">
      <c r="AF184" s="1472"/>
      <c r="AG184" s="1472"/>
      <c r="AH184" s="1472"/>
      <c r="AI184" s="1472"/>
      <c r="AJ184" s="1472"/>
      <c r="BA184" s="98"/>
      <c r="BB184" s="98"/>
      <c r="BC184" s="136"/>
      <c r="BD184" s="138"/>
      <c r="BE184" s="137"/>
      <c r="BF184" s="135"/>
      <c r="BG184" s="98"/>
      <c r="BH184" s="98"/>
      <c r="BI184" s="98"/>
      <c r="BJ184" s="98"/>
      <c r="BK184" s="98"/>
      <c r="BL184" s="98"/>
      <c r="BM184" s="98"/>
      <c r="BN184" s="98"/>
      <c r="BO184" s="98"/>
      <c r="BP184" s="98"/>
      <c r="BQ184" s="98"/>
      <c r="BR184" s="98"/>
      <c r="BS184" s="98"/>
      <c r="BT184" s="98"/>
      <c r="BU184" s="98"/>
      <c r="BV184" s="98"/>
      <c r="BW184" s="98"/>
      <c r="BX184" s="98"/>
      <c r="BY184" s="98"/>
      <c r="BZ184" s="98"/>
      <c r="CA184" s="98"/>
    </row>
    <row r="185" spans="32:79" ht="13.5" customHeight="1">
      <c r="AF185" s="1472"/>
      <c r="AG185" s="1472"/>
      <c r="AH185" s="1472"/>
      <c r="AI185" s="1472"/>
      <c r="AJ185" s="1472"/>
      <c r="BA185" s="98"/>
      <c r="BB185" s="98"/>
      <c r="BC185" s="136"/>
      <c r="BD185" s="138"/>
      <c r="BE185" s="137"/>
      <c r="BF185" s="135"/>
      <c r="BG185" s="98"/>
      <c r="BH185" s="98"/>
      <c r="BI185" s="98"/>
      <c r="BJ185" s="98"/>
      <c r="BK185" s="98"/>
      <c r="BL185" s="98"/>
      <c r="BM185" s="98"/>
      <c r="BN185" s="98"/>
      <c r="BO185" s="98"/>
      <c r="BP185" s="98"/>
      <c r="BQ185" s="98"/>
      <c r="BR185" s="98"/>
      <c r="BS185" s="98"/>
      <c r="BT185" s="98"/>
      <c r="BU185" s="98"/>
      <c r="BV185" s="98"/>
      <c r="BW185" s="98"/>
      <c r="BX185" s="98"/>
      <c r="BY185" s="98"/>
      <c r="BZ185" s="98"/>
      <c r="CA185" s="98"/>
    </row>
    <row r="186" spans="32:79" ht="13.5" customHeight="1">
      <c r="AF186" s="1472"/>
      <c r="AG186" s="1472"/>
      <c r="AH186" s="1472"/>
      <c r="AI186" s="1472"/>
      <c r="AJ186" s="1472"/>
      <c r="BA186" s="98"/>
      <c r="BB186" s="98"/>
      <c r="BC186" s="136"/>
      <c r="BD186" s="138"/>
      <c r="BE186" s="137"/>
      <c r="BF186" s="135"/>
      <c r="BG186" s="98"/>
      <c r="BH186" s="98"/>
      <c r="BI186" s="98"/>
      <c r="BJ186" s="98"/>
      <c r="BK186" s="98"/>
      <c r="BL186" s="98"/>
      <c r="BM186" s="98"/>
      <c r="BN186" s="98"/>
      <c r="BO186" s="98"/>
      <c r="BP186" s="98"/>
      <c r="BQ186" s="98"/>
      <c r="BR186" s="98"/>
      <c r="BS186" s="98"/>
      <c r="BT186" s="98"/>
      <c r="BU186" s="98"/>
      <c r="BV186" s="98"/>
      <c r="BW186" s="98"/>
      <c r="BX186" s="98"/>
      <c r="BY186" s="98"/>
      <c r="BZ186" s="98"/>
      <c r="CA186" s="98"/>
    </row>
    <row r="187" spans="32:79" ht="13.5" customHeight="1">
      <c r="AF187" s="1472"/>
      <c r="AG187" s="1472"/>
      <c r="AH187" s="1472"/>
      <c r="AI187" s="1472"/>
      <c r="AJ187" s="1472"/>
      <c r="BA187" s="98"/>
      <c r="BB187" s="98"/>
      <c r="BC187" s="136"/>
      <c r="BD187" s="138"/>
      <c r="BE187" s="134" t="s">
        <v>101</v>
      </c>
      <c r="BF187" s="135"/>
      <c r="BG187" s="98"/>
      <c r="BH187" s="98"/>
      <c r="BI187" s="98"/>
      <c r="BJ187" s="98"/>
      <c r="BK187" s="98"/>
      <c r="BL187" s="98"/>
      <c r="BM187" s="98"/>
      <c r="BN187" s="98"/>
      <c r="BO187" s="98"/>
      <c r="BP187" s="98"/>
      <c r="BQ187" s="98"/>
      <c r="BR187" s="98"/>
      <c r="BS187" s="98"/>
      <c r="BT187" s="98"/>
      <c r="BU187" s="98"/>
      <c r="BV187" s="98"/>
      <c r="BW187" s="98"/>
      <c r="BX187" s="98"/>
      <c r="BY187" s="98"/>
      <c r="BZ187" s="98"/>
      <c r="CA187" s="98"/>
    </row>
    <row r="188" spans="32:79" ht="13.5" customHeight="1">
      <c r="AF188" s="1472"/>
      <c r="AG188" s="1472"/>
      <c r="AH188" s="1472"/>
      <c r="AI188" s="1472"/>
      <c r="AJ188" s="1472"/>
      <c r="BA188" s="98"/>
      <c r="BB188" s="98"/>
      <c r="BC188" s="136"/>
      <c r="BD188" s="109" t="s">
        <v>2973</v>
      </c>
      <c r="BE188" s="137" t="s">
        <v>2968</v>
      </c>
      <c r="BF188" s="135">
        <v>240</v>
      </c>
      <c r="BG188" s="98"/>
      <c r="BH188" s="98"/>
      <c r="BI188" s="98"/>
      <c r="BJ188" s="98"/>
      <c r="BK188" s="98"/>
      <c r="BL188" s="98"/>
      <c r="BM188" s="98"/>
      <c r="BN188" s="98"/>
      <c r="BO188" s="98"/>
      <c r="BP188" s="98"/>
      <c r="BQ188" s="98"/>
      <c r="BR188" s="98"/>
      <c r="BS188" s="98"/>
      <c r="BT188" s="98"/>
      <c r="BU188" s="98"/>
      <c r="BV188" s="98"/>
      <c r="BW188" s="98"/>
      <c r="BX188" s="98"/>
      <c r="BY188" s="98"/>
      <c r="BZ188" s="98"/>
      <c r="CA188" s="98"/>
    </row>
    <row r="189" spans="32:79" ht="13.5" customHeight="1">
      <c r="AF189" s="1472"/>
      <c r="AG189" s="1472"/>
      <c r="AH189" s="1472"/>
      <c r="AI189" s="1472"/>
      <c r="AJ189" s="1472"/>
      <c r="BA189" s="98"/>
      <c r="BB189" s="98"/>
      <c r="BC189" s="139"/>
      <c r="BD189" s="109" t="s">
        <v>2974</v>
      </c>
      <c r="BE189" s="137" t="s">
        <v>2969</v>
      </c>
      <c r="BF189" s="135">
        <v>240</v>
      </c>
      <c r="BG189" s="98"/>
      <c r="BH189" s="98"/>
      <c r="BI189" s="98"/>
      <c r="BJ189" s="98"/>
      <c r="BK189" s="98"/>
      <c r="BL189" s="98"/>
      <c r="BM189" s="98"/>
      <c r="BN189" s="98"/>
      <c r="BO189" s="98"/>
      <c r="BP189" s="98"/>
      <c r="BQ189" s="98"/>
      <c r="BR189" s="98"/>
      <c r="BS189" s="98"/>
      <c r="BT189" s="98"/>
      <c r="BU189" s="98"/>
      <c r="BV189" s="98"/>
      <c r="BW189" s="98"/>
      <c r="BX189" s="98"/>
      <c r="BY189" s="98"/>
      <c r="BZ189" s="98"/>
      <c r="CA189" s="98"/>
    </row>
    <row r="190" spans="32:79" ht="13.5" customHeight="1">
      <c r="AF190" s="1472"/>
      <c r="AG190" s="1472"/>
      <c r="AH190" s="1472"/>
      <c r="AI190" s="1472"/>
      <c r="AJ190" s="1472"/>
      <c r="BA190" s="98"/>
      <c r="BB190" s="98"/>
      <c r="BC190" s="139"/>
      <c r="BD190" s="109" t="s">
        <v>2975</v>
      </c>
      <c r="BE190" s="137" t="s">
        <v>2970</v>
      </c>
      <c r="BF190" s="135">
        <v>240</v>
      </c>
      <c r="BG190" s="98"/>
      <c r="BH190" s="98"/>
      <c r="BI190" s="98"/>
      <c r="BJ190" s="98"/>
      <c r="BK190" s="98"/>
      <c r="BL190" s="98"/>
      <c r="BM190" s="98"/>
      <c r="BN190" s="98"/>
      <c r="BO190" s="98"/>
      <c r="BP190" s="98"/>
      <c r="BQ190" s="98"/>
      <c r="BR190" s="98"/>
      <c r="BS190" s="98"/>
      <c r="BT190" s="98"/>
      <c r="BU190" s="98"/>
      <c r="BV190" s="98"/>
      <c r="BW190" s="98"/>
      <c r="BX190" s="98"/>
      <c r="BY190" s="98"/>
      <c r="BZ190" s="98"/>
      <c r="CA190" s="98"/>
    </row>
    <row r="191" spans="32:79" ht="13.5" customHeight="1">
      <c r="AF191" s="1472"/>
      <c r="AG191" s="1472"/>
      <c r="AH191" s="1472"/>
      <c r="AI191" s="1472"/>
      <c r="AJ191" s="1472"/>
      <c r="BA191" s="98"/>
      <c r="BB191" s="98"/>
      <c r="BC191" s="139"/>
      <c r="BD191" s="109" t="s">
        <v>2967</v>
      </c>
      <c r="BE191" s="137" t="s">
        <v>2965</v>
      </c>
      <c r="BF191" s="135">
        <v>440</v>
      </c>
      <c r="BG191" s="98"/>
      <c r="BH191" s="98"/>
      <c r="BI191" s="98"/>
      <c r="BJ191" s="98"/>
      <c r="BK191" s="98"/>
      <c r="BL191" s="98"/>
      <c r="BM191" s="98"/>
      <c r="BN191" s="98"/>
      <c r="BO191" s="98"/>
      <c r="BP191" s="98"/>
      <c r="BQ191" s="98"/>
      <c r="BR191" s="98"/>
      <c r="BS191" s="98"/>
      <c r="BT191" s="98"/>
      <c r="BU191" s="98"/>
      <c r="BV191" s="98"/>
      <c r="BW191" s="98"/>
      <c r="BX191" s="98"/>
      <c r="BY191" s="98"/>
      <c r="BZ191" s="98"/>
      <c r="CA191" s="98"/>
    </row>
    <row r="192" spans="32:79" ht="13.5" customHeight="1">
      <c r="AF192" s="1472"/>
      <c r="AG192" s="1472"/>
      <c r="AH192" s="1472"/>
      <c r="AI192" s="1472"/>
      <c r="AJ192" s="1472"/>
      <c r="BA192" s="98"/>
      <c r="BB192" s="98"/>
      <c r="BC192" s="139"/>
      <c r="BD192" s="109" t="s">
        <v>2978</v>
      </c>
      <c r="BE192" s="137" t="s">
        <v>2971</v>
      </c>
      <c r="BF192" s="135">
        <v>440</v>
      </c>
      <c r="BG192" s="98"/>
      <c r="BH192" s="98"/>
      <c r="BI192" s="98"/>
      <c r="BJ192" s="98"/>
      <c r="BK192" s="98"/>
      <c r="BL192" s="98"/>
      <c r="BM192" s="98"/>
      <c r="BN192" s="98"/>
      <c r="BO192" s="98"/>
      <c r="BP192" s="98"/>
      <c r="BQ192" s="98"/>
      <c r="BR192" s="98"/>
      <c r="BS192" s="98"/>
      <c r="BT192" s="98"/>
      <c r="BU192" s="98"/>
      <c r="BV192" s="98"/>
      <c r="BW192" s="98"/>
      <c r="BX192" s="98"/>
      <c r="BY192" s="98"/>
      <c r="BZ192" s="98"/>
      <c r="CA192" s="98"/>
    </row>
    <row r="193" spans="32:79" ht="13.5" customHeight="1">
      <c r="AF193" s="1472"/>
      <c r="AG193" s="1472"/>
      <c r="AH193" s="1472"/>
      <c r="AI193" s="1472"/>
      <c r="AJ193" s="1472"/>
      <c r="BA193" s="98"/>
      <c r="BB193" s="98"/>
      <c r="BC193" s="139"/>
      <c r="BD193" s="109" t="s">
        <v>2977</v>
      </c>
      <c r="BE193" s="137" t="s">
        <v>2972</v>
      </c>
      <c r="BF193" s="135">
        <v>440</v>
      </c>
      <c r="BG193" s="98"/>
      <c r="BH193" s="98"/>
      <c r="BI193" s="98"/>
      <c r="BJ193" s="98"/>
      <c r="BK193" s="98"/>
      <c r="BL193" s="98"/>
      <c r="BM193" s="98"/>
      <c r="BN193" s="98"/>
      <c r="BO193" s="98"/>
      <c r="BP193" s="98"/>
      <c r="BQ193" s="98"/>
      <c r="BR193" s="98"/>
      <c r="BS193" s="98"/>
      <c r="BT193" s="98"/>
      <c r="BU193" s="98"/>
      <c r="BV193" s="98"/>
      <c r="BW193" s="98"/>
      <c r="BX193" s="98"/>
      <c r="BY193" s="98"/>
      <c r="BZ193" s="98"/>
      <c r="CA193" s="98"/>
    </row>
    <row r="194" spans="32:79" ht="13.5" customHeight="1">
      <c r="AF194" s="1472"/>
      <c r="AG194" s="1472"/>
      <c r="AH194" s="1472"/>
      <c r="AI194" s="1472"/>
      <c r="AJ194" s="1472"/>
      <c r="BA194" s="98"/>
      <c r="BB194" s="98"/>
      <c r="BC194" s="139"/>
      <c r="BD194" s="113"/>
      <c r="BE194" s="134" t="s">
        <v>120</v>
      </c>
      <c r="BF194" s="135"/>
      <c r="BG194" s="98"/>
      <c r="BH194" s="98"/>
      <c r="BI194" s="98"/>
      <c r="BJ194" s="98"/>
      <c r="BK194" s="98"/>
      <c r="BL194" s="98"/>
      <c r="BM194" s="98"/>
      <c r="BN194" s="98"/>
      <c r="BO194" s="98"/>
      <c r="BP194" s="98"/>
      <c r="BQ194" s="98"/>
      <c r="BR194" s="98"/>
      <c r="BS194" s="98"/>
      <c r="BT194" s="98"/>
      <c r="BU194" s="98"/>
      <c r="BV194" s="98"/>
      <c r="BW194" s="98"/>
      <c r="BX194" s="98"/>
      <c r="BY194" s="98"/>
      <c r="BZ194" s="98"/>
      <c r="CA194" s="98"/>
    </row>
    <row r="195" spans="32:79" ht="13.5" customHeight="1">
      <c r="AF195" s="1472"/>
      <c r="AG195" s="1472"/>
      <c r="AH195" s="1472"/>
      <c r="AI195" s="1472"/>
      <c r="AJ195" s="1472"/>
      <c r="BA195" s="98"/>
      <c r="BB195" s="98"/>
      <c r="BC195" s="140"/>
      <c r="BD195" s="141" t="s">
        <v>2896</v>
      </c>
      <c r="BE195" s="137" t="s">
        <v>2895</v>
      </c>
      <c r="BF195" s="135">
        <v>90</v>
      </c>
      <c r="BG195" s="98"/>
      <c r="BH195" s="98"/>
      <c r="BI195" s="98"/>
      <c r="BJ195" s="98"/>
      <c r="BK195" s="98"/>
      <c r="BL195" s="98"/>
      <c r="BM195" s="98"/>
      <c r="BN195" s="98"/>
      <c r="BO195" s="98"/>
      <c r="BP195" s="98"/>
      <c r="BQ195" s="98"/>
      <c r="BR195" s="98"/>
      <c r="BS195" s="98"/>
      <c r="BT195" s="98"/>
      <c r="BU195" s="98"/>
      <c r="BV195" s="98"/>
      <c r="BW195" s="98"/>
      <c r="BX195" s="98"/>
      <c r="BY195" s="98"/>
      <c r="BZ195" s="98"/>
      <c r="CA195" s="98"/>
    </row>
    <row r="196" spans="32:79" ht="13.5" customHeight="1">
      <c r="AF196" s="1472"/>
      <c r="AG196" s="1472"/>
      <c r="AH196" s="1472"/>
      <c r="AI196" s="1472"/>
      <c r="AJ196" s="1472"/>
      <c r="BA196" s="98"/>
      <c r="BB196" s="98"/>
      <c r="BC196" s="139"/>
      <c r="BD196" s="141" t="s">
        <v>2897</v>
      </c>
      <c r="BE196" s="137" t="s">
        <v>2898</v>
      </c>
      <c r="BF196" s="135">
        <v>90</v>
      </c>
      <c r="BG196" s="98"/>
      <c r="BH196" s="98"/>
      <c r="BI196" s="98"/>
      <c r="BJ196" s="98"/>
      <c r="BK196" s="98"/>
      <c r="BL196" s="98"/>
      <c r="BM196" s="98"/>
      <c r="BN196" s="98"/>
      <c r="BO196" s="98"/>
      <c r="BP196" s="98"/>
      <c r="BQ196" s="98"/>
      <c r="BR196" s="98"/>
      <c r="BS196" s="98"/>
      <c r="BT196" s="98"/>
      <c r="BU196" s="98"/>
      <c r="BV196" s="98"/>
      <c r="BW196" s="98"/>
      <c r="BX196" s="98"/>
      <c r="BY196" s="98"/>
      <c r="BZ196" s="98"/>
      <c r="CA196" s="98"/>
    </row>
    <row r="197" spans="32:79" ht="13.5" customHeight="1">
      <c r="AF197" s="1472"/>
      <c r="AG197" s="1472"/>
      <c r="AH197" s="1472"/>
      <c r="AI197" s="1472"/>
      <c r="AJ197" s="1472"/>
      <c r="BA197" s="98"/>
      <c r="BB197" s="98"/>
      <c r="BC197" s="139"/>
      <c r="BD197" s="141" t="s">
        <v>2903</v>
      </c>
      <c r="BE197" s="137" t="s">
        <v>2899</v>
      </c>
      <c r="BF197" s="135">
        <v>90</v>
      </c>
      <c r="BG197" s="98"/>
      <c r="BH197" s="98"/>
      <c r="BI197" s="98"/>
      <c r="BJ197" s="98"/>
      <c r="BK197" s="98"/>
      <c r="BL197" s="98"/>
      <c r="BM197" s="98"/>
      <c r="BN197" s="98"/>
      <c r="BO197" s="98"/>
      <c r="BP197" s="98"/>
      <c r="BQ197" s="98"/>
      <c r="BR197" s="98"/>
      <c r="BS197" s="98"/>
      <c r="BT197" s="98"/>
      <c r="BU197" s="98"/>
      <c r="BV197" s="98"/>
      <c r="BW197" s="98"/>
      <c r="BX197" s="98"/>
      <c r="BY197" s="98"/>
      <c r="BZ197" s="98"/>
      <c r="CA197" s="98"/>
    </row>
    <row r="198" spans="32:79" ht="13.5" customHeight="1">
      <c r="AF198" s="1472"/>
      <c r="AG198" s="1472"/>
      <c r="AH198" s="1472"/>
      <c r="AI198" s="1472"/>
      <c r="AJ198" s="1472"/>
      <c r="BA198" s="98"/>
      <c r="BB198" s="98"/>
      <c r="BC198" s="139"/>
      <c r="BD198" s="141" t="s">
        <v>2902</v>
      </c>
      <c r="BE198" s="137" t="s">
        <v>2900</v>
      </c>
      <c r="BF198" s="135">
        <v>130</v>
      </c>
      <c r="BG198" s="98"/>
      <c r="BH198" s="98"/>
      <c r="BI198" s="98"/>
      <c r="BJ198" s="98"/>
      <c r="BK198" s="98"/>
      <c r="BL198" s="98"/>
      <c r="BM198" s="98"/>
      <c r="BN198" s="98"/>
      <c r="BO198" s="98"/>
      <c r="BP198" s="98"/>
      <c r="BQ198" s="98"/>
      <c r="BR198" s="98"/>
      <c r="BS198" s="98"/>
      <c r="BT198" s="98"/>
      <c r="BU198" s="98"/>
      <c r="BV198" s="98"/>
      <c r="BW198" s="98"/>
      <c r="BX198" s="98"/>
      <c r="BY198" s="98"/>
      <c r="BZ198" s="98"/>
      <c r="CA198" s="98"/>
    </row>
    <row r="199" spans="32:79" ht="28.5">
      <c r="AF199" s="1472"/>
      <c r="AG199" s="1472"/>
      <c r="AH199" s="1472"/>
      <c r="AI199" s="1472"/>
      <c r="AJ199" s="1472"/>
      <c r="BA199" s="98"/>
      <c r="BB199" s="98"/>
      <c r="BC199" s="139"/>
      <c r="BD199" s="141" t="s">
        <v>2872</v>
      </c>
      <c r="BE199" s="137" t="s">
        <v>2901</v>
      </c>
      <c r="BF199" s="135">
        <v>130</v>
      </c>
      <c r="BG199" s="98"/>
      <c r="BH199" s="98"/>
      <c r="BI199" s="98"/>
      <c r="BJ199" s="98"/>
      <c r="BK199" s="98"/>
      <c r="BL199" s="98"/>
      <c r="BM199" s="98"/>
      <c r="BN199" s="98"/>
      <c r="BO199" s="98"/>
      <c r="BP199" s="98"/>
      <c r="BQ199" s="98"/>
      <c r="BR199" s="98"/>
      <c r="BS199" s="98"/>
      <c r="BT199" s="98"/>
      <c r="BU199" s="98"/>
      <c r="BV199" s="98"/>
      <c r="BW199" s="98"/>
      <c r="BX199" s="98"/>
      <c r="BY199" s="98"/>
      <c r="BZ199" s="98"/>
      <c r="CA199" s="98"/>
    </row>
    <row r="200" spans="32:79" ht="28.5">
      <c r="AF200" s="1472"/>
      <c r="AG200" s="1472"/>
      <c r="AH200" s="1472"/>
      <c r="AI200" s="1472"/>
      <c r="AJ200" s="1472"/>
      <c r="BA200" s="98"/>
      <c r="BB200" s="98"/>
      <c r="BC200" s="140"/>
      <c r="BD200" s="141" t="s">
        <v>2873</v>
      </c>
      <c r="BE200" s="137" t="s">
        <v>2904</v>
      </c>
      <c r="BF200" s="135">
        <v>130</v>
      </c>
      <c r="BG200" s="98"/>
      <c r="BH200" s="98"/>
      <c r="BI200" s="98"/>
      <c r="BJ200" s="98"/>
      <c r="BK200" s="98"/>
      <c r="BL200" s="98"/>
      <c r="BM200" s="98"/>
      <c r="BN200" s="98"/>
      <c r="BO200" s="98"/>
      <c r="BP200" s="98"/>
      <c r="BQ200" s="98"/>
      <c r="BR200" s="98"/>
      <c r="BS200" s="98"/>
      <c r="BT200" s="98"/>
      <c r="BU200" s="98"/>
      <c r="BV200" s="98"/>
      <c r="BW200" s="98"/>
      <c r="BX200" s="98"/>
      <c r="BY200" s="98"/>
      <c r="BZ200" s="98"/>
      <c r="CA200" s="98"/>
    </row>
    <row r="201" spans="32:79" ht="14.25">
      <c r="AF201" s="1472"/>
      <c r="AG201" s="1472"/>
      <c r="AH201" s="1472"/>
      <c r="AI201" s="1472"/>
      <c r="AJ201" s="1472"/>
      <c r="BA201" s="98"/>
      <c r="BB201" s="98"/>
      <c r="BC201" s="139"/>
      <c r="BD201" s="135"/>
      <c r="BE201" s="137"/>
      <c r="BF201" s="135"/>
      <c r="BG201" s="98"/>
      <c r="BH201" s="98"/>
      <c r="BI201" s="98"/>
      <c r="BJ201" s="98"/>
      <c r="BK201" s="98"/>
      <c r="BL201" s="98"/>
      <c r="BM201" s="98"/>
      <c r="BN201" s="98"/>
      <c r="BO201" s="98"/>
      <c r="BP201" s="98"/>
      <c r="BQ201" s="98"/>
      <c r="BR201" s="98"/>
      <c r="BS201" s="98"/>
      <c r="BT201" s="98"/>
      <c r="BU201" s="98"/>
      <c r="BV201" s="98"/>
      <c r="BW201" s="98"/>
      <c r="BX201" s="98"/>
      <c r="BY201" s="98"/>
      <c r="BZ201" s="98"/>
      <c r="CA201" s="98"/>
    </row>
    <row r="202" spans="32:79" ht="14.25">
      <c r="AF202" s="1472"/>
      <c r="AG202" s="1472"/>
      <c r="AH202" s="1472"/>
      <c r="AI202" s="1472"/>
      <c r="AJ202" s="1472"/>
      <c r="BA202" s="98"/>
      <c r="BB202" s="98"/>
      <c r="BC202" s="139"/>
      <c r="BD202" s="135"/>
      <c r="BE202" s="137"/>
      <c r="BF202" s="135"/>
      <c r="BG202" s="98"/>
      <c r="BH202" s="98"/>
      <c r="BI202" s="98"/>
      <c r="BJ202" s="98"/>
      <c r="BK202" s="98"/>
      <c r="BL202" s="98"/>
      <c r="BM202" s="98"/>
      <c r="BN202" s="98"/>
      <c r="BO202" s="98"/>
      <c r="BP202" s="98"/>
      <c r="BQ202" s="98"/>
      <c r="BR202" s="98"/>
      <c r="BS202" s="98"/>
      <c r="BT202" s="98"/>
      <c r="BU202" s="98"/>
      <c r="BV202" s="98"/>
      <c r="BW202" s="98"/>
      <c r="BX202" s="98"/>
      <c r="BY202" s="98"/>
      <c r="BZ202" s="98"/>
      <c r="CA202" s="98"/>
    </row>
    <row r="203" spans="32:79" ht="14.25">
      <c r="BA203" s="98"/>
      <c r="BB203" s="98"/>
      <c r="BC203" s="139"/>
      <c r="BD203" s="135"/>
      <c r="BE203" s="134" t="s">
        <v>102</v>
      </c>
      <c r="BF203" s="135"/>
      <c r="BG203" s="98"/>
      <c r="BH203" s="98"/>
      <c r="BI203" s="98"/>
      <c r="BJ203" s="98"/>
      <c r="BK203" s="98"/>
      <c r="BL203" s="98"/>
      <c r="BM203" s="98"/>
      <c r="BN203" s="98"/>
      <c r="BO203" s="98"/>
      <c r="BP203" s="98"/>
      <c r="BQ203" s="98"/>
      <c r="BR203" s="98"/>
      <c r="BS203" s="98"/>
      <c r="BT203" s="98"/>
      <c r="BU203" s="98"/>
      <c r="BV203" s="98"/>
      <c r="BW203" s="98"/>
      <c r="BX203" s="98"/>
      <c r="BY203" s="98"/>
      <c r="BZ203" s="98"/>
      <c r="CA203" s="98"/>
    </row>
    <row r="204" spans="32:79" ht="14.25">
      <c r="BA204" s="98"/>
      <c r="BB204" s="98"/>
      <c r="BC204" s="139"/>
      <c r="BD204" s="109" t="s">
        <v>365</v>
      </c>
      <c r="BE204" s="137" t="s">
        <v>103</v>
      </c>
      <c r="BF204" s="135">
        <v>90</v>
      </c>
      <c r="BG204" s="98"/>
      <c r="BH204" s="98"/>
      <c r="BI204" s="98"/>
      <c r="BJ204" s="98"/>
      <c r="BK204" s="98"/>
      <c r="BL204" s="98"/>
      <c r="BM204" s="98"/>
      <c r="BN204" s="98"/>
      <c r="BO204" s="98"/>
      <c r="BP204" s="98"/>
      <c r="BQ204" s="98"/>
      <c r="BR204" s="98"/>
      <c r="BS204" s="98"/>
      <c r="BT204" s="98"/>
      <c r="BU204" s="98"/>
      <c r="BV204" s="98"/>
      <c r="BW204" s="98"/>
      <c r="BX204" s="98"/>
      <c r="BY204" s="98"/>
      <c r="BZ204" s="98"/>
      <c r="CA204" s="98"/>
    </row>
    <row r="205" spans="32:79" ht="14.25">
      <c r="BA205" s="98"/>
      <c r="BB205" s="98"/>
      <c r="BC205" s="139"/>
      <c r="BD205" s="109" t="s">
        <v>367</v>
      </c>
      <c r="BE205" s="137" t="s">
        <v>252</v>
      </c>
      <c r="BF205" s="135">
        <v>600</v>
      </c>
      <c r="BG205" s="98"/>
      <c r="BH205" s="98"/>
      <c r="BI205" s="98"/>
      <c r="BJ205" s="98"/>
      <c r="BK205" s="98"/>
      <c r="BL205" s="98"/>
      <c r="BM205" s="98"/>
      <c r="BN205" s="98"/>
      <c r="BO205" s="98"/>
      <c r="BP205" s="98"/>
      <c r="BQ205" s="98"/>
      <c r="BR205" s="98"/>
      <c r="BS205" s="98"/>
      <c r="BT205" s="98"/>
      <c r="BU205" s="98"/>
      <c r="BV205" s="98"/>
      <c r="BW205" s="98"/>
      <c r="BX205" s="98"/>
      <c r="BY205" s="98"/>
      <c r="BZ205" s="98"/>
      <c r="CA205" s="98"/>
    </row>
    <row r="206" spans="32:79" ht="14.25">
      <c r="BA206" s="98"/>
      <c r="BB206" s="98"/>
      <c r="BC206" s="139"/>
      <c r="BD206" s="109" t="s">
        <v>369</v>
      </c>
      <c r="BE206" s="137" t="s">
        <v>104</v>
      </c>
      <c r="BF206" s="135">
        <v>600</v>
      </c>
      <c r="BG206" s="98"/>
      <c r="BH206" s="98"/>
      <c r="BI206" s="98"/>
      <c r="BJ206" s="98"/>
      <c r="BK206" s="98"/>
      <c r="BL206" s="98"/>
      <c r="BM206" s="98"/>
      <c r="BN206" s="98"/>
      <c r="BO206" s="98"/>
      <c r="BP206" s="98"/>
      <c r="BQ206" s="98"/>
      <c r="BR206" s="98"/>
      <c r="BS206" s="98"/>
      <c r="BT206" s="98"/>
      <c r="BU206" s="98"/>
      <c r="BV206" s="98"/>
      <c r="BW206" s="98"/>
      <c r="BX206" s="98"/>
      <c r="BY206" s="98"/>
      <c r="BZ206" s="98"/>
      <c r="CA206" s="98"/>
    </row>
    <row r="207" spans="32:79" ht="14.25">
      <c r="BA207" s="98"/>
      <c r="BB207" s="98"/>
      <c r="BC207" s="139"/>
      <c r="BD207" s="109" t="s">
        <v>371</v>
      </c>
      <c r="BE207" s="137" t="s">
        <v>105</v>
      </c>
      <c r="BF207" s="135">
        <v>600</v>
      </c>
      <c r="BG207" s="98"/>
      <c r="BH207" s="98"/>
      <c r="BI207" s="98"/>
      <c r="BJ207" s="98"/>
      <c r="BK207" s="98"/>
      <c r="BL207" s="98"/>
      <c r="BM207" s="98"/>
      <c r="BN207" s="98"/>
      <c r="BO207" s="98"/>
      <c r="BP207" s="98"/>
      <c r="BQ207" s="98"/>
      <c r="BR207" s="98"/>
      <c r="BS207" s="98"/>
      <c r="BT207" s="98"/>
      <c r="BU207" s="98"/>
      <c r="BV207" s="98"/>
      <c r="BW207" s="98"/>
      <c r="BX207" s="98"/>
      <c r="BY207" s="98"/>
      <c r="BZ207" s="98"/>
      <c r="CA207" s="98"/>
    </row>
    <row r="208" spans="32:79" ht="14.25">
      <c r="BA208" s="98"/>
      <c r="BB208" s="98"/>
      <c r="BC208" s="139"/>
      <c r="BD208" s="109" t="s">
        <v>373</v>
      </c>
      <c r="BE208" s="137" t="s">
        <v>254</v>
      </c>
      <c r="BF208" s="135">
        <v>600</v>
      </c>
      <c r="BG208" s="98"/>
      <c r="BH208" s="98"/>
      <c r="BI208" s="98"/>
      <c r="BJ208" s="98"/>
      <c r="BK208" s="98"/>
      <c r="BL208" s="98"/>
      <c r="BM208" s="98"/>
      <c r="BN208" s="98"/>
      <c r="BO208" s="98"/>
      <c r="BP208" s="98"/>
      <c r="BQ208" s="98"/>
      <c r="BR208" s="98"/>
      <c r="BS208" s="98"/>
      <c r="BT208" s="98"/>
      <c r="BU208" s="98"/>
      <c r="BV208" s="98"/>
      <c r="BW208" s="98"/>
      <c r="BX208" s="98"/>
      <c r="BY208" s="98"/>
      <c r="BZ208" s="98"/>
      <c r="CA208" s="98"/>
    </row>
    <row r="209" spans="53:79" ht="14.25">
      <c r="BA209" s="98"/>
      <c r="BB209" s="98"/>
      <c r="BC209" s="140"/>
      <c r="BD209" s="109" t="s">
        <v>2870</v>
      </c>
      <c r="BE209" s="137" t="s">
        <v>2905</v>
      </c>
      <c r="BF209" s="135">
        <v>500</v>
      </c>
      <c r="BG209" s="98"/>
      <c r="BH209" s="98"/>
      <c r="BI209" s="98"/>
      <c r="BJ209" s="98"/>
      <c r="BK209" s="98"/>
      <c r="BL209" s="98"/>
      <c r="BM209" s="98"/>
      <c r="BN209" s="98"/>
      <c r="BO209" s="98"/>
      <c r="BP209" s="98"/>
      <c r="BQ209" s="98"/>
      <c r="BR209" s="98"/>
      <c r="BS209" s="98"/>
      <c r="BT209" s="98"/>
      <c r="BU209" s="98"/>
      <c r="BV209" s="98"/>
      <c r="BW209" s="98"/>
      <c r="BX209" s="98"/>
      <c r="BY209" s="98"/>
      <c r="BZ209" s="98"/>
      <c r="CA209" s="98"/>
    </row>
    <row r="210" spans="53:79" ht="14.25">
      <c r="BA210" s="98"/>
      <c r="BB210" s="98"/>
      <c r="BC210" s="139"/>
      <c r="BD210" s="109" t="s">
        <v>376</v>
      </c>
      <c r="BE210" s="137" t="s">
        <v>106</v>
      </c>
      <c r="BF210" s="135">
        <v>600</v>
      </c>
      <c r="BG210" s="98"/>
      <c r="BH210" s="98"/>
      <c r="BI210" s="98"/>
      <c r="BJ210" s="98"/>
      <c r="BK210" s="98"/>
      <c r="BL210" s="98"/>
      <c r="BM210" s="98"/>
      <c r="BN210" s="98"/>
      <c r="BO210" s="98"/>
      <c r="BP210" s="98"/>
      <c r="BQ210" s="98"/>
      <c r="BR210" s="98"/>
      <c r="BS210" s="98"/>
      <c r="BT210" s="98"/>
      <c r="BU210" s="98"/>
      <c r="BV210" s="98"/>
      <c r="BW210" s="98"/>
      <c r="BX210" s="98"/>
      <c r="BY210" s="98"/>
      <c r="BZ210" s="98"/>
      <c r="CA210" s="98"/>
    </row>
    <row r="211" spans="53:79" ht="14.25">
      <c r="BA211" s="98"/>
      <c r="BB211" s="98"/>
      <c r="BC211" s="139"/>
      <c r="BD211" s="109" t="s">
        <v>378</v>
      </c>
      <c r="BE211" s="137" t="s">
        <v>253</v>
      </c>
      <c r="BF211" s="135">
        <v>750</v>
      </c>
      <c r="BG211" s="98"/>
      <c r="BH211" s="98"/>
      <c r="BI211" s="98"/>
      <c r="BJ211" s="98"/>
      <c r="BK211" s="98"/>
      <c r="BL211" s="98"/>
      <c r="BM211" s="98"/>
      <c r="BN211" s="98"/>
      <c r="BO211" s="98"/>
      <c r="BP211" s="98"/>
      <c r="BQ211" s="98"/>
      <c r="BR211" s="98"/>
      <c r="BS211" s="98"/>
      <c r="BT211" s="98"/>
      <c r="BU211" s="98"/>
      <c r="BV211" s="98"/>
      <c r="BW211" s="98"/>
      <c r="BX211" s="98"/>
      <c r="BY211" s="98"/>
      <c r="BZ211" s="98"/>
      <c r="CA211" s="98"/>
    </row>
    <row r="212" spans="53:79" ht="14.25">
      <c r="BA212" s="98"/>
      <c r="BB212" s="98"/>
      <c r="BC212" s="139"/>
      <c r="BD212" s="109" t="s">
        <v>380</v>
      </c>
      <c r="BE212" s="137" t="s">
        <v>107</v>
      </c>
      <c r="BF212" s="135">
        <v>100</v>
      </c>
      <c r="BG212" s="98"/>
      <c r="BH212" s="98"/>
      <c r="BI212" s="98"/>
      <c r="BJ212" s="98"/>
      <c r="BK212" s="98"/>
      <c r="BL212" s="98"/>
      <c r="BM212" s="98"/>
      <c r="BN212" s="98"/>
      <c r="BO212" s="98"/>
      <c r="BP212" s="98"/>
      <c r="BQ212" s="98"/>
      <c r="BR212" s="98"/>
      <c r="BS212" s="98"/>
      <c r="BT212" s="98"/>
      <c r="BU212" s="98"/>
      <c r="BV212" s="98"/>
      <c r="BW212" s="98"/>
      <c r="BX212" s="98"/>
      <c r="BY212" s="98"/>
      <c r="BZ212" s="98"/>
      <c r="CA212" s="98"/>
    </row>
    <row r="213" spans="53:79" ht="14.25">
      <c r="BA213" s="98"/>
      <c r="BB213" s="98"/>
      <c r="BC213" s="139"/>
      <c r="BD213" s="109" t="s">
        <v>388</v>
      </c>
      <c r="BE213" s="137" t="s">
        <v>255</v>
      </c>
      <c r="BF213" s="135">
        <v>50</v>
      </c>
      <c r="BG213" s="98"/>
      <c r="BH213" s="98"/>
      <c r="BI213" s="98"/>
      <c r="BJ213" s="98"/>
      <c r="BK213" s="98"/>
      <c r="BL213" s="98"/>
      <c r="BM213" s="98"/>
      <c r="BN213" s="98"/>
      <c r="BO213" s="98"/>
      <c r="BP213" s="98"/>
      <c r="BQ213" s="98"/>
      <c r="BR213" s="98"/>
      <c r="BS213" s="98"/>
      <c r="BT213" s="98"/>
      <c r="BU213" s="98"/>
      <c r="BV213" s="98"/>
      <c r="BW213" s="98"/>
      <c r="BX213" s="98"/>
      <c r="BY213" s="98"/>
      <c r="BZ213" s="98"/>
      <c r="CA213" s="98"/>
    </row>
    <row r="214" spans="53:79" ht="14.25">
      <c r="BA214" s="98"/>
      <c r="BB214" s="98"/>
      <c r="BC214" s="139"/>
      <c r="BD214" s="109" t="s">
        <v>389</v>
      </c>
      <c r="BE214" s="137" t="s">
        <v>256</v>
      </c>
      <c r="BF214" s="135">
        <v>70</v>
      </c>
      <c r="BG214" s="98"/>
      <c r="BH214" s="98"/>
      <c r="BI214" s="98"/>
      <c r="BJ214" s="98"/>
      <c r="BK214" s="98"/>
      <c r="BL214" s="98"/>
      <c r="BM214" s="98"/>
      <c r="BN214" s="98"/>
      <c r="BO214" s="98"/>
      <c r="BP214" s="98"/>
      <c r="BQ214" s="98"/>
      <c r="BR214" s="98"/>
      <c r="BS214" s="98"/>
      <c r="BT214" s="98"/>
      <c r="BU214" s="98"/>
      <c r="BV214" s="98"/>
      <c r="BW214" s="98"/>
      <c r="BX214" s="98"/>
      <c r="BY214" s="98"/>
      <c r="BZ214" s="98"/>
      <c r="CA214" s="98"/>
    </row>
    <row r="215" spans="53:79" ht="14.25">
      <c r="BA215" s="98"/>
      <c r="BB215" s="98"/>
      <c r="BC215" s="139"/>
      <c r="BD215" s="109" t="s">
        <v>391</v>
      </c>
      <c r="BE215" s="137" t="s">
        <v>257</v>
      </c>
      <c r="BF215" s="135">
        <v>50</v>
      </c>
      <c r="BG215" s="98"/>
      <c r="BH215" s="98"/>
      <c r="BI215" s="98"/>
      <c r="BJ215" s="98"/>
      <c r="BK215" s="98"/>
      <c r="BL215" s="98"/>
      <c r="BM215" s="98"/>
      <c r="BN215" s="98"/>
      <c r="BO215" s="98"/>
      <c r="BP215" s="98"/>
      <c r="BQ215" s="98"/>
      <c r="BR215" s="98"/>
      <c r="BS215" s="98"/>
      <c r="BT215" s="98"/>
      <c r="BU215" s="98"/>
      <c r="BV215" s="98"/>
      <c r="BW215" s="98"/>
      <c r="BX215" s="98"/>
      <c r="BY215" s="98"/>
      <c r="BZ215" s="98"/>
      <c r="CA215" s="98"/>
    </row>
    <row r="216" spans="53:79" ht="28.5">
      <c r="BA216" s="98"/>
      <c r="BB216" s="98"/>
      <c r="BC216" s="139"/>
      <c r="BD216" s="109" t="s">
        <v>393</v>
      </c>
      <c r="BE216" s="137" t="s">
        <v>258</v>
      </c>
      <c r="BF216" s="135">
        <v>110</v>
      </c>
      <c r="BG216" s="98"/>
      <c r="BH216" s="98"/>
      <c r="BI216" s="98"/>
      <c r="BJ216" s="98"/>
      <c r="BK216" s="98"/>
      <c r="BL216" s="98"/>
      <c r="BM216" s="98"/>
      <c r="BN216" s="98"/>
      <c r="BO216" s="98"/>
      <c r="BP216" s="98"/>
      <c r="BQ216" s="98"/>
      <c r="BR216" s="98"/>
      <c r="BS216" s="98"/>
      <c r="BT216" s="98"/>
      <c r="BU216" s="98"/>
      <c r="BV216" s="98"/>
      <c r="BW216" s="98"/>
      <c r="BX216" s="98"/>
      <c r="BY216" s="98"/>
      <c r="BZ216" s="98"/>
      <c r="CA216" s="98"/>
    </row>
    <row r="217" spans="53:79" ht="14.25">
      <c r="BA217" s="98"/>
      <c r="BB217" s="98"/>
      <c r="BC217" s="139"/>
      <c r="BD217" s="111" t="s">
        <v>395</v>
      </c>
      <c r="BE217" s="134" t="s">
        <v>259</v>
      </c>
      <c r="BF217" s="135">
        <v>100</v>
      </c>
      <c r="BG217" s="98"/>
      <c r="BH217" s="98"/>
      <c r="BI217" s="98"/>
      <c r="BJ217" s="98"/>
      <c r="BK217" s="98"/>
      <c r="BL217" s="98"/>
      <c r="BM217" s="98"/>
      <c r="BN217" s="98"/>
      <c r="BO217" s="98"/>
      <c r="BP217" s="98"/>
      <c r="BQ217" s="98"/>
      <c r="BR217" s="98"/>
      <c r="BS217" s="98"/>
      <c r="BT217" s="98"/>
      <c r="BU217" s="98"/>
      <c r="BV217" s="98"/>
      <c r="BW217" s="98"/>
      <c r="BX217" s="98"/>
      <c r="BY217" s="98"/>
      <c r="BZ217" s="98"/>
      <c r="CA217" s="98"/>
    </row>
    <row r="218" spans="53:79" ht="14.25">
      <c r="BA218" s="98"/>
      <c r="BB218" s="98"/>
      <c r="BC218" s="139"/>
      <c r="BD218" s="109" t="s">
        <v>397</v>
      </c>
      <c r="BE218" s="137" t="s">
        <v>260</v>
      </c>
      <c r="BF218" s="135">
        <v>150</v>
      </c>
      <c r="BG218" s="98"/>
      <c r="BH218" s="98"/>
      <c r="BI218" s="98"/>
      <c r="BJ218" s="98"/>
      <c r="BK218" s="98"/>
      <c r="BL218" s="98"/>
      <c r="BM218" s="98"/>
      <c r="BN218" s="98"/>
      <c r="BO218" s="98"/>
      <c r="BP218" s="98"/>
      <c r="BQ218" s="98"/>
      <c r="BR218" s="98"/>
      <c r="BS218" s="98"/>
      <c r="BT218" s="98"/>
      <c r="BU218" s="98"/>
      <c r="BV218" s="98"/>
      <c r="BW218" s="98"/>
      <c r="BX218" s="98"/>
      <c r="BY218" s="98"/>
      <c r="BZ218" s="98"/>
      <c r="CA218" s="98"/>
    </row>
    <row r="219" spans="53:79" ht="14.25">
      <c r="BA219" s="98"/>
      <c r="BB219" s="98"/>
      <c r="BC219" s="139"/>
      <c r="BD219" s="109" t="s">
        <v>399</v>
      </c>
      <c r="BE219" s="137" t="s">
        <v>119</v>
      </c>
      <c r="BF219" s="135">
        <v>150</v>
      </c>
      <c r="BG219" s="98"/>
      <c r="BH219" s="98"/>
      <c r="BI219" s="98"/>
      <c r="BJ219" s="98"/>
      <c r="BK219" s="98"/>
      <c r="BL219" s="98"/>
      <c r="BM219" s="98"/>
      <c r="BN219" s="98"/>
      <c r="BO219" s="98"/>
      <c r="BP219" s="98"/>
      <c r="BQ219" s="98"/>
      <c r="BR219" s="98"/>
      <c r="BS219" s="98"/>
      <c r="BT219" s="98"/>
      <c r="BU219" s="98"/>
      <c r="BV219" s="98"/>
      <c r="BW219" s="98"/>
      <c r="BX219" s="98"/>
      <c r="BY219" s="98"/>
      <c r="BZ219" s="98"/>
      <c r="CA219" s="98"/>
    </row>
    <row r="220" spans="53:79" ht="14.25">
      <c r="BC220" s="36"/>
      <c r="BD220" s="32"/>
    </row>
    <row r="221" spans="53:79" ht="14.25">
      <c r="BC221" s="36"/>
      <c r="BD221" s="32"/>
    </row>
    <row r="222" spans="53:79" ht="14.25">
      <c r="BC222" s="36"/>
      <c r="BD222" s="39"/>
    </row>
    <row r="223" spans="53:79" ht="14.25">
      <c r="BC223" s="31"/>
    </row>
    <row r="224" spans="53:79" ht="14.25">
      <c r="BC224" s="36"/>
    </row>
    <row r="225" spans="55:55" ht="14.25">
      <c r="BC225" s="36"/>
    </row>
    <row r="226" spans="55:55" ht="14.25">
      <c r="BC226" s="36"/>
    </row>
    <row r="227" spans="55:55" ht="14.25">
      <c r="BC227" s="36"/>
    </row>
    <row r="228" spans="55:55" ht="14.25">
      <c r="BC228" s="36"/>
    </row>
  </sheetData>
  <sheetProtection algorithmName="SHA-512" hashValue="tFMOiMrJwf64II+I68RJPr3OLl42yVB8P96ddoCZ+f5BAd4dz6iKgzzNP3zUvgHx7Byxz8R+IJ7tbQwpx9/wxw==" saltValue="SChxK1sfvwvinsr3O/j7jw==" spinCount="100000" sheet="1" selectLockedCells="1"/>
  <dataConsolidate/>
  <mergeCells count="427">
    <mergeCell ref="AH27:AL29"/>
    <mergeCell ref="AM27:AS27"/>
    <mergeCell ref="AT27:AT29"/>
    <mergeCell ref="AU27:AZ29"/>
    <mergeCell ref="AM28:AM29"/>
    <mergeCell ref="AN28:AO29"/>
    <mergeCell ref="AP28:AQ29"/>
    <mergeCell ref="AR28:AS29"/>
    <mergeCell ref="AH30:AL30"/>
    <mergeCell ref="AN30:AO30"/>
    <mergeCell ref="AP30:AQ30"/>
    <mergeCell ref="AR30:AS30"/>
    <mergeCell ref="AU30:AZ30"/>
    <mergeCell ref="H39:L39"/>
    <mergeCell ref="H40:L40"/>
    <mergeCell ref="H41:L41"/>
    <mergeCell ref="A15:M16"/>
    <mergeCell ref="N15:N16"/>
    <mergeCell ref="Q15:Q16"/>
    <mergeCell ref="R15:Z16"/>
    <mergeCell ref="H32:L32"/>
    <mergeCell ref="H33:L33"/>
    <mergeCell ref="H34:L34"/>
    <mergeCell ref="H35:L35"/>
    <mergeCell ref="H36:L36"/>
    <mergeCell ref="F40:G40"/>
    <mergeCell ref="F41:G41"/>
    <mergeCell ref="C41:E41"/>
    <mergeCell ref="C40:E40"/>
    <mergeCell ref="A21:Z21"/>
    <mergeCell ref="A25:Z25"/>
    <mergeCell ref="P37:Q37"/>
    <mergeCell ref="R37:S37"/>
    <mergeCell ref="A27:B29"/>
    <mergeCell ref="U32:Z32"/>
    <mergeCell ref="AA11:AB11"/>
    <mergeCell ref="AK11:AN12"/>
    <mergeCell ref="AO11:AZ12"/>
    <mergeCell ref="AA12:AB12"/>
    <mergeCell ref="AA15:AM16"/>
    <mergeCell ref="AO15:AP15"/>
    <mergeCell ref="AQ15:AQ16"/>
    <mergeCell ref="AO16:AP16"/>
    <mergeCell ref="AA21:AZ21"/>
    <mergeCell ref="AN15:AN16"/>
    <mergeCell ref="AA18:AZ18"/>
    <mergeCell ref="AN56:AO56"/>
    <mergeCell ref="AF39:AG39"/>
    <mergeCell ref="U36:Z36"/>
    <mergeCell ref="AC39:AE39"/>
    <mergeCell ref="C31:E31"/>
    <mergeCell ref="C38:E38"/>
    <mergeCell ref="C39:E39"/>
    <mergeCell ref="C32:E32"/>
    <mergeCell ref="P36:Q36"/>
    <mergeCell ref="R36:S36"/>
    <mergeCell ref="F33:G33"/>
    <mergeCell ref="F32:G32"/>
    <mergeCell ref="C37:E37"/>
    <mergeCell ref="C35:E35"/>
    <mergeCell ref="C36:E36"/>
    <mergeCell ref="F38:G38"/>
    <mergeCell ref="F37:G37"/>
    <mergeCell ref="N37:O37"/>
    <mergeCell ref="F39:G39"/>
    <mergeCell ref="F35:G35"/>
    <mergeCell ref="F36:G36"/>
    <mergeCell ref="H37:L37"/>
    <mergeCell ref="H38:L38"/>
    <mergeCell ref="AJ48:AK49"/>
    <mergeCell ref="AC27:AE29"/>
    <mergeCell ref="F31:G31"/>
    <mergeCell ref="N36:O36"/>
    <mergeCell ref="C34:E34"/>
    <mergeCell ref="F34:G34"/>
    <mergeCell ref="C30:E30"/>
    <mergeCell ref="C27:E29"/>
    <mergeCell ref="F30:G30"/>
    <mergeCell ref="R28:S29"/>
    <mergeCell ref="F27:G29"/>
    <mergeCell ref="N28:O29"/>
    <mergeCell ref="P28:Q29"/>
    <mergeCell ref="AA27:AB29"/>
    <mergeCell ref="C33:E33"/>
    <mergeCell ref="H30:L30"/>
    <mergeCell ref="H27:L29"/>
    <mergeCell ref="H31:L31"/>
    <mergeCell ref="M28:M29"/>
    <mergeCell ref="M27:S27"/>
    <mergeCell ref="T27:T29"/>
    <mergeCell ref="U27:Z29"/>
    <mergeCell ref="AC31:AE31"/>
    <mergeCell ref="P32:Q32"/>
    <mergeCell ref="AC32:AE32"/>
    <mergeCell ref="AM7:AM8"/>
    <mergeCell ref="AA22:AZ22"/>
    <mergeCell ref="AR15:AZ16"/>
    <mergeCell ref="A1:Z1"/>
    <mergeCell ref="AA1:AZ1"/>
    <mergeCell ref="A3:V3"/>
    <mergeCell ref="AA3:AV3"/>
    <mergeCell ref="V4:V5"/>
    <mergeCell ref="AY4:AY5"/>
    <mergeCell ref="AZ4:AZ5"/>
    <mergeCell ref="AV4:AV5"/>
    <mergeCell ref="AW4:AX5"/>
    <mergeCell ref="Y4:Y5"/>
    <mergeCell ref="Z4:Z5"/>
    <mergeCell ref="W4:X5"/>
    <mergeCell ref="O15:P15"/>
    <mergeCell ref="A11:B11"/>
    <mergeCell ref="A12:B12"/>
    <mergeCell ref="A19:Z19"/>
    <mergeCell ref="AA19:AZ19"/>
    <mergeCell ref="A14:Z14"/>
    <mergeCell ref="AA14:AZ14"/>
    <mergeCell ref="O16:P16"/>
    <mergeCell ref="A18:Z18"/>
    <mergeCell ref="A10:Z10"/>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A6:C6"/>
    <mergeCell ref="D6:T6"/>
    <mergeCell ref="AA6:AC6"/>
    <mergeCell ref="A7:C8"/>
    <mergeCell ref="AW8:AX8"/>
    <mergeCell ref="J7:J8"/>
    <mergeCell ref="AH7:AH8"/>
    <mergeCell ref="AG7:AG8"/>
    <mergeCell ref="AA7:AC8"/>
    <mergeCell ref="R7:R8"/>
    <mergeCell ref="K7:K8"/>
    <mergeCell ref="E7:E8"/>
    <mergeCell ref="L7:L8"/>
    <mergeCell ref="N7:N8"/>
    <mergeCell ref="O7:O8"/>
    <mergeCell ref="P7:P8"/>
    <mergeCell ref="H7:H8"/>
    <mergeCell ref="M7:M8"/>
    <mergeCell ref="AN7:AN8"/>
    <mergeCell ref="BM30:BN30"/>
    <mergeCell ref="Q7:Q8"/>
    <mergeCell ref="S7:S8"/>
    <mergeCell ref="T7:T8"/>
    <mergeCell ref="AA25:AZ25"/>
    <mergeCell ref="A26:Z26"/>
    <mergeCell ref="AA26:AZ26"/>
    <mergeCell ref="A20:Z20"/>
    <mergeCell ref="AA20:AZ20"/>
    <mergeCell ref="A22:Z22"/>
    <mergeCell ref="AA23:AZ23"/>
    <mergeCell ref="A23:Z23"/>
    <mergeCell ref="AA24:AZ24"/>
    <mergeCell ref="F7:F8"/>
    <mergeCell ref="A24:Z24"/>
    <mergeCell ref="G7:G8"/>
    <mergeCell ref="D7:D8"/>
    <mergeCell ref="I7:I8"/>
    <mergeCell ref="D11:I12"/>
    <mergeCell ref="AD11:AI12"/>
    <mergeCell ref="K11:N12"/>
    <mergeCell ref="O11:Z12"/>
    <mergeCell ref="AE7:AE8"/>
    <mergeCell ref="BP30:BQ30"/>
    <mergeCell ref="N31:O31"/>
    <mergeCell ref="P31:Q31"/>
    <mergeCell ref="R31:S31"/>
    <mergeCell ref="AJ50:AK50"/>
    <mergeCell ref="AL50:AM50"/>
    <mergeCell ref="AN50:AO50"/>
    <mergeCell ref="N30:O30"/>
    <mergeCell ref="P30:Q30"/>
    <mergeCell ref="R30:S30"/>
    <mergeCell ref="U30:Z30"/>
    <mergeCell ref="AC30:AE30"/>
    <mergeCell ref="AF30:AG30"/>
    <mergeCell ref="AF50:AI50"/>
    <mergeCell ref="BM31:BN31"/>
    <mergeCell ref="BP31:BQ31"/>
    <mergeCell ref="U31:Z31"/>
    <mergeCell ref="AL48:AM49"/>
    <mergeCell ref="AN48:AO49"/>
    <mergeCell ref="AJ47:AO47"/>
    <mergeCell ref="AH31:AL31"/>
    <mergeCell ref="AN31:AO31"/>
    <mergeCell ref="AP31:AQ31"/>
    <mergeCell ref="AR31:AS31"/>
    <mergeCell ref="AF31:AG31"/>
    <mergeCell ref="BM32:BN32"/>
    <mergeCell ref="BP32:BQ32"/>
    <mergeCell ref="N33:O33"/>
    <mergeCell ref="P33:Q33"/>
    <mergeCell ref="R33:S33"/>
    <mergeCell ref="BM33:BN33"/>
    <mergeCell ref="BP33:BQ33"/>
    <mergeCell ref="AU31:AZ31"/>
    <mergeCell ref="AH32:AL32"/>
    <mergeCell ref="AN32:AO32"/>
    <mergeCell ref="AP32:AQ32"/>
    <mergeCell ref="AR32:AS32"/>
    <mergeCell ref="AU32:AZ32"/>
    <mergeCell ref="AH33:AL33"/>
    <mergeCell ref="AN33:AO33"/>
    <mergeCell ref="AP33:AQ33"/>
    <mergeCell ref="AR33:AS33"/>
    <mergeCell ref="AU33:AZ33"/>
    <mergeCell ref="N32:O32"/>
    <mergeCell ref="R32:S32"/>
    <mergeCell ref="AF32:AG32"/>
    <mergeCell ref="AF33:AG33"/>
    <mergeCell ref="U33:Z33"/>
    <mergeCell ref="AL53:AM53"/>
    <mergeCell ref="AN53:AO53"/>
    <mergeCell ref="AC33:AE33"/>
    <mergeCell ref="AF53:AI53"/>
    <mergeCell ref="AJ52:AK52"/>
    <mergeCell ref="AL52:AM52"/>
    <mergeCell ref="AN52:AO52"/>
    <mergeCell ref="AJ51:AK51"/>
    <mergeCell ref="AL51:AM51"/>
    <mergeCell ref="AN51:AO51"/>
    <mergeCell ref="AF51:AI51"/>
    <mergeCell ref="AH34:AL34"/>
    <mergeCell ref="AN34:AO34"/>
    <mergeCell ref="AH40:AL40"/>
    <mergeCell ref="AH41:AL41"/>
    <mergeCell ref="AH37:AL37"/>
    <mergeCell ref="AH38:AL38"/>
    <mergeCell ref="AH39:AL39"/>
    <mergeCell ref="AC35:AE35"/>
    <mergeCell ref="BM34:BN34"/>
    <mergeCell ref="AF52:AI52"/>
    <mergeCell ref="BP34:BQ34"/>
    <mergeCell ref="N35:O35"/>
    <mergeCell ref="P35:Q35"/>
    <mergeCell ref="R35:S35"/>
    <mergeCell ref="BP35:BQ35"/>
    <mergeCell ref="P41:Q41"/>
    <mergeCell ref="R41:S41"/>
    <mergeCell ref="N40:O40"/>
    <mergeCell ref="P40:Q40"/>
    <mergeCell ref="R40:S40"/>
    <mergeCell ref="AR36:AS36"/>
    <mergeCell ref="AU36:AZ36"/>
    <mergeCell ref="AR34:AS34"/>
    <mergeCell ref="AC36:AE36"/>
    <mergeCell ref="AP34:AQ34"/>
    <mergeCell ref="AU34:AZ34"/>
    <mergeCell ref="AR40:AS40"/>
    <mergeCell ref="AU40:AZ40"/>
    <mergeCell ref="AR41:AS41"/>
    <mergeCell ref="AU41:AZ41"/>
    <mergeCell ref="AR37:AS37"/>
    <mergeCell ref="AU37:AZ37"/>
    <mergeCell ref="AL54:AM54"/>
    <mergeCell ref="AN54:AO54"/>
    <mergeCell ref="BM35:BN35"/>
    <mergeCell ref="N34:O34"/>
    <mergeCell ref="P34:Q34"/>
    <mergeCell ref="R34:S34"/>
    <mergeCell ref="U34:Z34"/>
    <mergeCell ref="AC34:AE34"/>
    <mergeCell ref="AF54:AI54"/>
    <mergeCell ref="AF34:AG34"/>
    <mergeCell ref="AH35:AL35"/>
    <mergeCell ref="AN35:AO35"/>
    <mergeCell ref="AP35:AQ35"/>
    <mergeCell ref="AR35:AS35"/>
    <mergeCell ref="AU35:AZ35"/>
    <mergeCell ref="AH36:AL36"/>
    <mergeCell ref="AN36:AO36"/>
    <mergeCell ref="AP36:AQ36"/>
    <mergeCell ref="BM37:BN37"/>
    <mergeCell ref="AF36:AG36"/>
    <mergeCell ref="AF37:AG37"/>
    <mergeCell ref="U35:Z35"/>
    <mergeCell ref="N41:O41"/>
    <mergeCell ref="AJ53:AK53"/>
    <mergeCell ref="BP41:BQ41"/>
    <mergeCell ref="U40:Z40"/>
    <mergeCell ref="AC40:AE40"/>
    <mergeCell ref="AF40:AG40"/>
    <mergeCell ref="BM41:BN41"/>
    <mergeCell ref="AN41:AO41"/>
    <mergeCell ref="AP41:AQ41"/>
    <mergeCell ref="AC41:AE41"/>
    <mergeCell ref="AF41:AG41"/>
    <mergeCell ref="AF35:AG35"/>
    <mergeCell ref="BP37:BQ37"/>
    <mergeCell ref="U37:Z37"/>
    <mergeCell ref="AN37:AO37"/>
    <mergeCell ref="AP37:AQ37"/>
    <mergeCell ref="AC37:AE37"/>
    <mergeCell ref="BM36:BN36"/>
    <mergeCell ref="BP36:BQ36"/>
    <mergeCell ref="AN40:AO40"/>
    <mergeCell ref="AP40:AQ40"/>
    <mergeCell ref="AR38:AS38"/>
    <mergeCell ref="AU38:AZ38"/>
    <mergeCell ref="AR39:AS39"/>
    <mergeCell ref="AU39:AZ39"/>
    <mergeCell ref="AL56:AM56"/>
    <mergeCell ref="BM38:BN38"/>
    <mergeCell ref="BP38:BQ38"/>
    <mergeCell ref="N39:O39"/>
    <mergeCell ref="P39:Q39"/>
    <mergeCell ref="R39:S39"/>
    <mergeCell ref="AN38:AO38"/>
    <mergeCell ref="AP38:AQ38"/>
    <mergeCell ref="BM39:BN39"/>
    <mergeCell ref="N38:O38"/>
    <mergeCell ref="P38:Q38"/>
    <mergeCell ref="R38:S38"/>
    <mergeCell ref="U38:Z38"/>
    <mergeCell ref="AC38:AE38"/>
    <mergeCell ref="BP39:BQ39"/>
    <mergeCell ref="U39:Z39"/>
    <mergeCell ref="AN39:AO39"/>
    <mergeCell ref="AP39:AQ39"/>
    <mergeCell ref="AF38:AG38"/>
    <mergeCell ref="BM40:BN40"/>
    <mergeCell ref="BP40:BQ40"/>
    <mergeCell ref="AJ55:AK55"/>
    <mergeCell ref="AL55:AM55"/>
    <mergeCell ref="AN55:AO55"/>
    <mergeCell ref="AF125:AJ125"/>
    <mergeCell ref="AF126:AJ126"/>
    <mergeCell ref="AF127:AJ127"/>
    <mergeCell ref="AF128:AJ128"/>
    <mergeCell ref="AF129:AJ129"/>
    <mergeCell ref="AF130:AJ130"/>
    <mergeCell ref="A56:J56"/>
    <mergeCell ref="AF124:AJ124"/>
    <mergeCell ref="U41:Z41"/>
    <mergeCell ref="AF56:AI56"/>
    <mergeCell ref="AJ56:AK56"/>
    <mergeCell ref="AF55:AI55"/>
    <mergeCell ref="AJ54:AK54"/>
    <mergeCell ref="AF137:AJ137"/>
    <mergeCell ref="AF138:AJ138"/>
    <mergeCell ref="AF139:AJ139"/>
    <mergeCell ref="AF140:AJ140"/>
    <mergeCell ref="AF141:AJ141"/>
    <mergeCell ref="AF142:AJ142"/>
    <mergeCell ref="AF131:AJ131"/>
    <mergeCell ref="AF132:AJ132"/>
    <mergeCell ref="AF133:AJ133"/>
    <mergeCell ref="AF134:AJ134"/>
    <mergeCell ref="AF135:AJ135"/>
    <mergeCell ref="AF136:AJ136"/>
    <mergeCell ref="AF159:AJ159"/>
    <mergeCell ref="AF160:AJ160"/>
    <mergeCell ref="AF149:AJ149"/>
    <mergeCell ref="AF150:AJ150"/>
    <mergeCell ref="AF151:AJ151"/>
    <mergeCell ref="AF152:AJ152"/>
    <mergeCell ref="AF153:AJ153"/>
    <mergeCell ref="AF154:AJ154"/>
    <mergeCell ref="AF143:AJ143"/>
    <mergeCell ref="AF144:AJ144"/>
    <mergeCell ref="AF145:AJ145"/>
    <mergeCell ref="AF146:AJ146"/>
    <mergeCell ref="AF147:AJ147"/>
    <mergeCell ref="AF148:AJ148"/>
    <mergeCell ref="AF202:AJ202"/>
    <mergeCell ref="AF193:AJ193"/>
    <mergeCell ref="AF194:AJ194"/>
    <mergeCell ref="AF195:AJ195"/>
    <mergeCell ref="AF196:AJ196"/>
    <mergeCell ref="AF198:AJ198"/>
    <mergeCell ref="AF183:AJ183"/>
    <mergeCell ref="AF184:AJ184"/>
    <mergeCell ref="AF173:AJ173"/>
    <mergeCell ref="AF174:AJ174"/>
    <mergeCell ref="AF175:AJ175"/>
    <mergeCell ref="AF176:AJ176"/>
    <mergeCell ref="AF177:AJ177"/>
    <mergeCell ref="AF178:AJ178"/>
    <mergeCell ref="AF200:AJ200"/>
    <mergeCell ref="AF185:AJ185"/>
    <mergeCell ref="AF186:AJ186"/>
    <mergeCell ref="AF187:AJ187"/>
    <mergeCell ref="AF188:AJ188"/>
    <mergeCell ref="AF189:AJ189"/>
    <mergeCell ref="AF190:AJ190"/>
    <mergeCell ref="AF197:AJ197"/>
    <mergeCell ref="AF201:AJ201"/>
    <mergeCell ref="AF191:AJ191"/>
    <mergeCell ref="AF179:AJ179"/>
    <mergeCell ref="AF180:AJ180"/>
    <mergeCell ref="AF181:AJ181"/>
    <mergeCell ref="AF182:AJ182"/>
    <mergeCell ref="AF27:AG29"/>
    <mergeCell ref="AF47:AI49"/>
    <mergeCell ref="AF192:AJ192"/>
    <mergeCell ref="AF199:AJ199"/>
    <mergeCell ref="AF167:AJ167"/>
    <mergeCell ref="AF168:AJ168"/>
    <mergeCell ref="AF169:AJ169"/>
    <mergeCell ref="AF170:AJ170"/>
    <mergeCell ref="AF171:AJ171"/>
    <mergeCell ref="AF172:AJ172"/>
    <mergeCell ref="AF161:AJ161"/>
    <mergeCell ref="AF162:AJ162"/>
    <mergeCell ref="AF163:AJ163"/>
    <mergeCell ref="AF164:AJ164"/>
    <mergeCell ref="AF165:AJ165"/>
    <mergeCell ref="AF166:AJ166"/>
    <mergeCell ref="AF155:AJ155"/>
    <mergeCell ref="AF156:AJ156"/>
    <mergeCell ref="AF157:AJ157"/>
    <mergeCell ref="AF158:AJ158"/>
  </mergeCells>
  <phoneticPr fontId="30"/>
  <conditionalFormatting sqref="A58:A68 AA58:AA68">
    <cfRule type="cellIs" dxfId="607" priority="45" stopIfTrue="1" operator="between">
      <formula>0</formula>
      <formula>0</formula>
    </cfRule>
  </conditionalFormatting>
  <conditionalFormatting sqref="O15:P15">
    <cfRule type="expression" dxfId="606" priority="18">
      <formula>$B$54=TRUE</formula>
    </cfRule>
  </conditionalFormatting>
  <conditionalFormatting sqref="O16:P16">
    <cfRule type="expression" dxfId="605" priority="17">
      <formula>$B$55=TRUE</formula>
    </cfRule>
  </conditionalFormatting>
  <conditionalFormatting sqref="A11:B11">
    <cfRule type="expression" dxfId="604" priority="16">
      <formula>A54=TRUE</formula>
    </cfRule>
  </conditionalFormatting>
  <conditionalFormatting sqref="A12:B12">
    <cfRule type="expression" dxfId="603" priority="15">
      <formula>A55=TRUE</formula>
    </cfRule>
  </conditionalFormatting>
  <conditionalFormatting sqref="D4 F4 L4 N4 P4 R4 D6:T6 D7:D8 F7:F8 H7:H8 K7:K8 N7:N8 P7:P8 S7:S8 W7 Y7:Y8 T30:Z41 C30:H41 M30:Q41 A30:A41">
    <cfRule type="containsBlanks" dxfId="602" priority="14">
      <formula>LEN(TRIM(A4))=0</formula>
    </cfRule>
  </conditionalFormatting>
  <conditionalFormatting sqref="B4">
    <cfRule type="expression" dxfId="601" priority="11">
      <formula>$A$2=TRUE</formula>
    </cfRule>
  </conditionalFormatting>
  <conditionalFormatting sqref="J4">
    <cfRule type="expression" dxfId="600" priority="9">
      <formula>B2=TRUE</formula>
    </cfRule>
  </conditionalFormatting>
  <conditionalFormatting sqref="AA11:AB11">
    <cfRule type="expression" dxfId="599" priority="6">
      <formula>AA54=TRUE</formula>
    </cfRule>
  </conditionalFormatting>
  <conditionalFormatting sqref="AA12:AB12">
    <cfRule type="expression" dxfId="598" priority="5">
      <formula>AA55=TRUE</formula>
    </cfRule>
  </conditionalFormatting>
  <conditionalFormatting sqref="AD4 AF4 AL4 AN4 AP4 AR4 AD6:AT6 AD7:AD8 AF7:AF8 AH7:AH8 AK7:AK8 AN7:AN8 AP7:AP8 AS7:AS8 AW7 AY7:AY8">
    <cfRule type="containsBlanks" dxfId="597" priority="4">
      <formula>LEN(TRIM(AD4))=0</formula>
    </cfRule>
  </conditionalFormatting>
  <conditionalFormatting sqref="AJ4">
    <cfRule type="expression" dxfId="596" priority="2">
      <formula>AB2=TRUE</formula>
    </cfRule>
  </conditionalFormatting>
  <conditionalFormatting sqref="AT30:AZ41 AH30:AH41 AM30:AQ41">
    <cfRule type="containsBlanks" dxfId="595" priority="1">
      <formula>LEN(TRIM(AH30))=0</formula>
    </cfRule>
  </conditionalFormatting>
  <dataValidations xWindow="49" yWindow="872" count="12">
    <dataValidation type="list" operator="equal" allowBlank="1" showInputMessage="1" showErrorMessage="1" prompt="食事場所を指定してください" sqref="F30:G30" xr:uid="{00000000-0002-0000-0300-000000000000}">
      <formula1>"食堂,炊事,携帯食"</formula1>
    </dataValidation>
    <dataValidation type="list" operator="equal" allowBlank="1" showInputMessage="1" showErrorMessage="1" prompt="提供場所を指定してください" sqref="F31:G41" xr:uid="{00000000-0002-0000-0300-000001000000}">
      <formula1>"食堂,炊事,携帯食"</formula1>
    </dataValidation>
    <dataValidation type="list" allowBlank="1" showInputMessage="1" showErrorMessage="1" prompt="食事時機を指定してください" sqref="C30:E41" xr:uid="{00000000-0002-0000-0300-000002000000}">
      <formula1>時機</formula1>
    </dataValidation>
    <dataValidation type="list" operator="equal" showInputMessage="1" showErrorMessage="1" prompt="場所を選んでから、メニューを選択してください" sqref="H31:H41 AH31:AH41" xr:uid="{00000000-0002-0000-0300-000004000000}">
      <formula1>INDIRECT($F31)</formula1>
    </dataValidation>
    <dataValidation type="list" allowBlank="1" showInputMessage="1" showErrorMessage="1" sqref="T30:T41 AT37:AT41" xr:uid="{00000000-0002-0000-0300-000005000000}">
      <formula1>$AR$34</formula1>
    </dataValidation>
    <dataValidation type="list" allowBlank="1" showInputMessage="1" showErrorMessage="1" sqref="D4 L4 AD4 AL4" xr:uid="{B3094B57-29A2-4F4A-A0C0-855F54F369E0}">
      <formula1>$BL$56:$BL$67</formula1>
    </dataValidation>
    <dataValidation type="list" allowBlank="1" showInputMessage="1" showErrorMessage="1" sqref="F4 N4 AF4 AN4" xr:uid="{6980C749-6737-49B5-98D4-22EDD3B0893B}">
      <formula1>$BL$56:$BL$86</formula1>
    </dataValidation>
    <dataValidation type="list" allowBlank="1" showInputMessage="1" showErrorMessage="1" sqref="P4 AP4" xr:uid="{E4A7988B-6ED0-481A-8E24-BF2E3A1A2021}">
      <formula1>$BL$56:$BL$79</formula1>
    </dataValidation>
    <dataValidation type="list" allowBlank="1" showInputMessage="1" showErrorMessage="1" sqref="R4 AR4" xr:uid="{BC5A349D-F49B-493D-9852-8A18AA5FFCDF}">
      <formula1>$BM$56:$BM$59</formula1>
    </dataValidation>
    <dataValidation type="list" allowBlank="1" showInputMessage="1" showErrorMessage="1" sqref="H30 AH30" xr:uid="{9C8E55F9-3F4B-44A1-988F-F3B58DAF24BA}">
      <formula1>INDIRECT($F$30)</formula1>
    </dataValidation>
    <dataValidation type="list" allowBlank="1" showInputMessage="1" showErrorMessage="1" prompt="日にちを指定してください" sqref="A30:A41" xr:uid="{05115F03-3AA7-4960-BC64-B0F7875E0AAD}">
      <formula1>$BA$1:$BA$31</formula1>
    </dataValidation>
    <dataValidation type="list" allowBlank="1" showInputMessage="1" sqref="AT30:AT36" xr:uid="{8EF6759D-1E49-46E9-9A3E-E13E0BDEA107}">
      <formula1>$AR$34</formula1>
    </dataValidation>
  </dataValidations>
  <printOptions horizontalCentered="1"/>
  <pageMargins left="0.39370078740157483" right="0.39370078740157483" top="0.39370078740157483" bottom="0.39370078740157483" header="0" footer="0"/>
  <pageSetup paperSize="9" scale="82" orientation="portrait" r:id="rId1"/>
  <headerFooter>
    <oddHeader>&amp;RⅥ-3</oddHeader>
  </headerFooter>
  <colBreaks count="1" manualBreakCount="1">
    <brk id="26"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25</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25</xdr:row>
                    <xdr:rowOff>0</xdr:rowOff>
                  </from>
                  <to>
                    <xdr:col>26</xdr:col>
                    <xdr:colOff>0</xdr:colOff>
                    <xdr:row>25</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51</xdr:row>
                    <xdr:rowOff>152400</xdr:rowOff>
                  </from>
                  <to>
                    <xdr:col>26</xdr:col>
                    <xdr:colOff>0</xdr:colOff>
                    <xdr:row>53</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52</xdr:row>
                    <xdr:rowOff>152400</xdr:rowOff>
                  </from>
                  <to>
                    <xdr:col>26</xdr:col>
                    <xdr:colOff>0</xdr:colOff>
                    <xdr:row>54</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4" r:id="rId69" name="Check Box 70">
              <controlPr defaultSize="0" autoFill="0" autoLine="0" autoPict="0">
                <anchor moveWithCells="1" sizeWithCells="1">
                  <from>
                    <xdr:col>26</xdr:col>
                    <xdr:colOff>85725</xdr:colOff>
                    <xdr:row>10</xdr:row>
                    <xdr:rowOff>0</xdr:rowOff>
                  </from>
                  <to>
                    <xdr:col>27</xdr:col>
                    <xdr:colOff>114300</xdr:colOff>
                    <xdr:row>11</xdr:row>
                    <xdr:rowOff>28575</xdr:rowOff>
                  </to>
                </anchor>
              </controlPr>
            </control>
          </mc:Choice>
        </mc:AlternateContent>
        <mc:AlternateContent xmlns:mc="http://schemas.openxmlformats.org/markup-compatibility/2006">
          <mc:Choice Requires="x14">
            <control shapeId="16455" r:id="rId70" name="Check Box 71">
              <controlPr defaultSize="0" autoFill="0" autoLine="0" autoPict="0">
                <anchor moveWithCells="1" sizeWithCells="1">
                  <from>
                    <xdr:col>26</xdr:col>
                    <xdr:colOff>85725</xdr:colOff>
                    <xdr:row>10</xdr:row>
                    <xdr:rowOff>152400</xdr:rowOff>
                  </from>
                  <to>
                    <xdr:col>27</xdr:col>
                    <xdr:colOff>114300</xdr:colOff>
                    <xdr:row>12</xdr:row>
                    <xdr:rowOff>38100</xdr:rowOff>
                  </to>
                </anchor>
              </controlPr>
            </control>
          </mc:Choice>
        </mc:AlternateContent>
        <mc:AlternateContent xmlns:mc="http://schemas.openxmlformats.org/markup-compatibility/2006">
          <mc:Choice Requires="x14">
            <control shapeId="16456" r:id="rId71"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2"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3"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4"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5"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6"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462" r:id="rId77" name="Check Box 78">
              <controlPr defaultSize="0" autoFill="0" autoLine="0" autoPict="0">
                <anchor moveWithCells="1" sizeWithCells="1">
                  <from>
                    <xdr:col>0</xdr:col>
                    <xdr:colOff>47625</xdr:colOff>
                    <xdr:row>10</xdr:row>
                    <xdr:rowOff>0</xdr:rowOff>
                  </from>
                  <to>
                    <xdr:col>1</xdr:col>
                    <xdr:colOff>76200</xdr:colOff>
                    <xdr:row>10</xdr:row>
                    <xdr:rowOff>152400</xdr:rowOff>
                  </to>
                </anchor>
              </controlPr>
            </control>
          </mc:Choice>
        </mc:AlternateContent>
        <mc:AlternateContent xmlns:mc="http://schemas.openxmlformats.org/markup-compatibility/2006">
          <mc:Choice Requires="x14">
            <control shapeId="16463" r:id="rId78" name="Check Box 79">
              <controlPr defaultSize="0" autoFill="0" autoLine="0" autoPict="0">
                <anchor moveWithCells="1" sizeWithCells="1">
                  <from>
                    <xdr:col>0</xdr:col>
                    <xdr:colOff>47625</xdr:colOff>
                    <xdr:row>10</xdr:row>
                    <xdr:rowOff>161925</xdr:rowOff>
                  </from>
                  <to>
                    <xdr:col>1</xdr:col>
                    <xdr:colOff>76200</xdr:colOff>
                    <xdr:row>11</xdr:row>
                    <xdr:rowOff>161925</xdr:rowOff>
                  </to>
                </anchor>
              </controlPr>
            </control>
          </mc:Choice>
        </mc:AlternateContent>
        <mc:AlternateContent xmlns:mc="http://schemas.openxmlformats.org/markup-compatibility/2006">
          <mc:Choice Requires="x14">
            <control shapeId="16852" r:id="rId79"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80"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81"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82"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83"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CF221"/>
  <sheetViews>
    <sheetView showZeros="0" view="pageBreakPreview" zoomScale="80" zoomScaleNormal="100" zoomScaleSheetLayoutView="80" workbookViewId="0">
      <selection activeCell="U17" sqref="U17"/>
    </sheetView>
  </sheetViews>
  <sheetFormatPr defaultRowHeight="13.5"/>
  <cols>
    <col min="1" max="1" width="6.625" style="3" customWidth="1"/>
    <col min="2" max="2" width="10.625" style="3" customWidth="1"/>
    <col min="3" max="3" width="6.625" style="3" customWidth="1"/>
    <col min="4" max="7" width="3.625" style="3" customWidth="1"/>
    <col min="8" max="8" width="5.125" style="3" customWidth="1"/>
    <col min="9" max="12" width="3.625" style="3" customWidth="1"/>
    <col min="13" max="13" width="5.125" style="3" customWidth="1"/>
    <col min="14" max="17" width="3.625" style="3" customWidth="1"/>
    <col min="18" max="18" width="5.125" style="3" customWidth="1"/>
    <col min="19" max="24" width="3.625" style="3" customWidth="1"/>
    <col min="25" max="25" width="3.625" style="66" customWidth="1"/>
    <col min="26" max="26" width="6.625" style="3" customWidth="1"/>
    <col min="27" max="28" width="3.625" style="3" customWidth="1"/>
    <col min="29" max="29" width="6.625" style="3" customWidth="1"/>
    <col min="30" max="34" width="3.625" style="3" customWidth="1"/>
    <col min="35" max="35" width="5.125" style="3" customWidth="1"/>
    <col min="36" max="39" width="3.625" style="3" customWidth="1"/>
    <col min="40" max="40" width="5.125" style="3" customWidth="1"/>
    <col min="41" max="44" width="3.625" style="3" customWidth="1"/>
    <col min="45" max="45" width="5.125" style="3" customWidth="1"/>
    <col min="46" max="51" width="3.625" style="3" customWidth="1"/>
    <col min="52" max="16384" width="9" style="3"/>
  </cols>
  <sheetData>
    <row r="1" spans="1:84" ht="23.25">
      <c r="A1" s="1320" t="s">
        <v>123</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c r="Y1" s="1817"/>
      <c r="Z1" s="1324" t="s">
        <v>123</v>
      </c>
      <c r="AA1" s="1324"/>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42">
        <v>1</v>
      </c>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row>
    <row r="2" spans="1:84">
      <c r="A2" s="492"/>
      <c r="B2" s="492"/>
      <c r="C2" s="492"/>
      <c r="D2" s="492"/>
      <c r="E2" s="492"/>
      <c r="F2" s="492"/>
      <c r="G2" s="492"/>
      <c r="H2" s="492"/>
      <c r="I2" s="492"/>
      <c r="J2" s="492"/>
      <c r="K2" s="492"/>
      <c r="L2" s="492"/>
      <c r="M2" s="492"/>
      <c r="N2" s="492"/>
      <c r="O2" s="492"/>
      <c r="P2" s="492"/>
      <c r="Q2" s="492"/>
      <c r="R2" s="492"/>
      <c r="S2" s="492"/>
      <c r="T2" s="492"/>
      <c r="U2" s="452" t="s">
        <v>124</v>
      </c>
      <c r="V2" s="493">
        <v>1</v>
      </c>
      <c r="W2" s="494" t="s">
        <v>125</v>
      </c>
      <c r="X2" s="495"/>
      <c r="Y2" s="1817"/>
      <c r="Z2" s="510"/>
      <c r="AA2" s="510"/>
      <c r="AB2" s="510"/>
      <c r="AC2" s="510"/>
      <c r="AD2" s="510"/>
      <c r="AE2" s="510"/>
      <c r="AF2" s="510"/>
      <c r="AG2" s="510"/>
      <c r="AH2" s="510"/>
      <c r="AI2" s="510"/>
      <c r="AJ2" s="510"/>
      <c r="AK2" s="510"/>
      <c r="AL2" s="510"/>
      <c r="AM2" s="510"/>
      <c r="AN2" s="510"/>
      <c r="AO2" s="510"/>
      <c r="AP2" s="510"/>
      <c r="AQ2" s="510"/>
      <c r="AR2" s="510"/>
      <c r="AS2" s="510"/>
      <c r="AT2" s="510"/>
      <c r="AU2" s="510"/>
      <c r="AV2" s="511" t="s">
        <v>126</v>
      </c>
      <c r="AW2" s="512">
        <v>1</v>
      </c>
      <c r="AX2" s="513" t="s">
        <v>125</v>
      </c>
      <c r="AY2" s="514">
        <v>1</v>
      </c>
      <c r="AZ2" s="142">
        <v>2</v>
      </c>
      <c r="BA2" s="531" t="s">
        <v>346</v>
      </c>
      <c r="BB2" s="142"/>
      <c r="BC2" s="142"/>
      <c r="BD2" s="142">
        <v>1</v>
      </c>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row>
    <row r="3" spans="1:84" ht="14.25" customHeight="1" thickBot="1">
      <c r="A3" s="1870" t="s">
        <v>127</v>
      </c>
      <c r="B3" s="1821"/>
      <c r="C3" s="1872" t="s">
        <v>451</v>
      </c>
      <c r="D3" s="1872"/>
      <c r="E3" s="1872"/>
      <c r="F3" s="1872"/>
      <c r="G3" s="1872"/>
      <c r="H3" s="1872"/>
      <c r="I3" s="1872"/>
      <c r="J3" s="1872"/>
      <c r="K3" s="1872"/>
      <c r="L3" s="1872"/>
      <c r="M3" s="1872"/>
      <c r="N3" s="1872"/>
      <c r="O3" s="1855"/>
      <c r="P3" s="1855"/>
      <c r="Q3" s="1855"/>
      <c r="R3" s="1855"/>
      <c r="S3" s="1855"/>
      <c r="T3" s="1855"/>
      <c r="U3" s="452"/>
      <c r="V3" s="452"/>
      <c r="W3" s="452"/>
      <c r="X3" s="452"/>
      <c r="Y3" s="1817"/>
      <c r="Z3" s="1873" t="s">
        <v>127</v>
      </c>
      <c r="AA3" s="1703"/>
      <c r="AB3" s="1703"/>
      <c r="AC3" s="1703"/>
      <c r="AD3" s="1872" t="s">
        <v>451</v>
      </c>
      <c r="AE3" s="1872"/>
      <c r="AF3" s="1872"/>
      <c r="AG3" s="1872"/>
      <c r="AH3" s="1872"/>
      <c r="AI3" s="1872"/>
      <c r="AJ3" s="1872"/>
      <c r="AK3" s="1872"/>
      <c r="AL3" s="1872"/>
      <c r="AM3" s="1872"/>
      <c r="AN3" s="1872"/>
      <c r="AO3" s="1872"/>
      <c r="AP3" s="1855"/>
      <c r="AQ3" s="1855"/>
      <c r="AR3" s="1855"/>
      <c r="AS3" s="1855"/>
      <c r="AT3" s="1855"/>
      <c r="AU3" s="1855"/>
      <c r="AV3" s="511"/>
      <c r="AW3" s="511"/>
      <c r="AX3" s="511"/>
      <c r="AY3" s="511"/>
      <c r="AZ3" s="142">
        <v>3</v>
      </c>
      <c r="BA3" s="3" t="s">
        <v>2999</v>
      </c>
      <c r="BB3" s="142"/>
      <c r="BC3" s="142"/>
      <c r="BD3" s="142">
        <v>2</v>
      </c>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row>
    <row r="4" spans="1:84" ht="14.25" thickBot="1">
      <c r="A4" s="1871"/>
      <c r="B4" s="1827"/>
      <c r="C4" s="1849" t="s">
        <v>128</v>
      </c>
      <c r="D4" s="1850"/>
      <c r="E4" s="1850"/>
      <c r="F4" s="1850" t="s">
        <v>129</v>
      </c>
      <c r="G4" s="1850"/>
      <c r="H4" s="1850"/>
      <c r="I4" s="1850" t="s">
        <v>130</v>
      </c>
      <c r="J4" s="1850"/>
      <c r="K4" s="1850"/>
      <c r="L4" s="1850" t="s">
        <v>131</v>
      </c>
      <c r="M4" s="1850"/>
      <c r="N4" s="1876"/>
      <c r="O4" s="1844" t="s">
        <v>132</v>
      </c>
      <c r="P4" s="1843"/>
      <c r="Q4" s="1842" t="s">
        <v>133</v>
      </c>
      <c r="R4" s="1843"/>
      <c r="S4" s="1842" t="s">
        <v>134</v>
      </c>
      <c r="T4" s="1843"/>
      <c r="U4" s="452"/>
      <c r="V4" s="1845" t="s">
        <v>135</v>
      </c>
      <c r="W4" s="1848"/>
      <c r="X4" s="1848"/>
      <c r="Y4" s="1817"/>
      <c r="Z4" s="1874"/>
      <c r="AA4" s="1875"/>
      <c r="AB4" s="1875"/>
      <c r="AC4" s="1875"/>
      <c r="AD4" s="1849" t="s">
        <v>128</v>
      </c>
      <c r="AE4" s="1850"/>
      <c r="AF4" s="1850"/>
      <c r="AG4" s="1850" t="s">
        <v>129</v>
      </c>
      <c r="AH4" s="1850"/>
      <c r="AI4" s="1850"/>
      <c r="AJ4" s="1850" t="s">
        <v>130</v>
      </c>
      <c r="AK4" s="1850"/>
      <c r="AL4" s="1850"/>
      <c r="AM4" s="1850" t="s">
        <v>131</v>
      </c>
      <c r="AN4" s="1850"/>
      <c r="AO4" s="1876"/>
      <c r="AP4" s="1844" t="s">
        <v>132</v>
      </c>
      <c r="AQ4" s="1843"/>
      <c r="AR4" s="1842" t="s">
        <v>133</v>
      </c>
      <c r="AS4" s="1843"/>
      <c r="AT4" s="1842" t="s">
        <v>134</v>
      </c>
      <c r="AU4" s="1843"/>
      <c r="AV4" s="511"/>
      <c r="AW4" s="1856" t="s">
        <v>135</v>
      </c>
      <c r="AX4" s="1855"/>
      <c r="AY4" s="1855"/>
      <c r="AZ4" s="142">
        <v>4</v>
      </c>
      <c r="BA4" s="3" t="s">
        <v>3000</v>
      </c>
      <c r="BB4" s="142"/>
      <c r="BC4" s="142"/>
      <c r="BD4" s="142">
        <v>3</v>
      </c>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row>
    <row r="5" spans="1:84" ht="14.25" customHeight="1" thickBot="1">
      <c r="A5" s="1848" t="s">
        <v>136</v>
      </c>
      <c r="B5" s="1848"/>
      <c r="C5" s="1859" t="s">
        <v>137</v>
      </c>
      <c r="D5" s="1859"/>
      <c r="E5" s="1859"/>
      <c r="F5" s="1859"/>
      <c r="G5" s="1859"/>
      <c r="H5" s="1859"/>
      <c r="I5" s="1859"/>
      <c r="J5" s="1859"/>
      <c r="K5" s="1859"/>
      <c r="L5" s="1859" t="s">
        <v>138</v>
      </c>
      <c r="M5" s="1859"/>
      <c r="N5" s="1859"/>
      <c r="O5" s="1860" t="s">
        <v>2949</v>
      </c>
      <c r="P5" s="1861"/>
      <c r="Q5" s="1861"/>
      <c r="R5" s="1861"/>
      <c r="S5" s="1861"/>
      <c r="T5" s="1862"/>
      <c r="U5" s="496"/>
      <c r="V5" s="1846"/>
      <c r="W5" s="1848"/>
      <c r="X5" s="1848"/>
      <c r="Y5" s="1817"/>
      <c r="Z5" s="1855" t="s">
        <v>136</v>
      </c>
      <c r="AA5" s="1855"/>
      <c r="AB5" s="1855"/>
      <c r="AC5" s="1869"/>
      <c r="AD5" s="1859" t="s">
        <v>137</v>
      </c>
      <c r="AE5" s="1859"/>
      <c r="AF5" s="1859"/>
      <c r="AG5" s="1859"/>
      <c r="AH5" s="1859"/>
      <c r="AI5" s="1859"/>
      <c r="AJ5" s="1859"/>
      <c r="AK5" s="1859"/>
      <c r="AL5" s="1859"/>
      <c r="AM5" s="1859" t="s">
        <v>138</v>
      </c>
      <c r="AN5" s="1859"/>
      <c r="AO5" s="1859"/>
      <c r="AP5" s="1860" t="s">
        <v>139</v>
      </c>
      <c r="AQ5" s="1861"/>
      <c r="AR5" s="1861"/>
      <c r="AS5" s="1861"/>
      <c r="AT5" s="1861"/>
      <c r="AU5" s="1862"/>
      <c r="AV5" s="515"/>
      <c r="AW5" s="1857"/>
      <c r="AX5" s="1855"/>
      <c r="AY5" s="1855"/>
      <c r="AZ5" s="142">
        <v>5</v>
      </c>
      <c r="BA5" s="3" t="s">
        <v>3001</v>
      </c>
      <c r="BB5" s="142"/>
      <c r="BC5" s="142"/>
      <c r="BD5" s="142">
        <v>4</v>
      </c>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row>
    <row r="6" spans="1:84" ht="13.5" customHeight="1" thickBot="1">
      <c r="A6" s="1828" t="s">
        <v>140</v>
      </c>
      <c r="B6" s="1828"/>
      <c r="C6" s="1830" t="s">
        <v>141</v>
      </c>
      <c r="D6" s="1831"/>
      <c r="E6" s="1831"/>
      <c r="F6" s="1831"/>
      <c r="G6" s="1831"/>
      <c r="H6" s="1831"/>
      <c r="I6" s="1831"/>
      <c r="J6" s="1831"/>
      <c r="K6" s="1831"/>
      <c r="L6" s="1831"/>
      <c r="M6" s="1831"/>
      <c r="N6" s="1832"/>
      <c r="O6" s="1863"/>
      <c r="P6" s="1863"/>
      <c r="Q6" s="1863"/>
      <c r="R6" s="1863"/>
      <c r="S6" s="1863"/>
      <c r="T6" s="1864"/>
      <c r="U6" s="497"/>
      <c r="V6" s="1846"/>
      <c r="W6" s="1848"/>
      <c r="X6" s="1848"/>
      <c r="Y6" s="1817"/>
      <c r="Z6" s="1851" t="s">
        <v>140</v>
      </c>
      <c r="AA6" s="1851"/>
      <c r="AB6" s="1851"/>
      <c r="AC6" s="1852"/>
      <c r="AD6" s="1830" t="s">
        <v>141</v>
      </c>
      <c r="AE6" s="1831"/>
      <c r="AF6" s="1831"/>
      <c r="AG6" s="1831"/>
      <c r="AH6" s="1831"/>
      <c r="AI6" s="1831"/>
      <c r="AJ6" s="1831"/>
      <c r="AK6" s="1831"/>
      <c r="AL6" s="1831"/>
      <c r="AM6" s="1831"/>
      <c r="AN6" s="1831"/>
      <c r="AO6" s="1832"/>
      <c r="AP6" s="1863"/>
      <c r="AQ6" s="1863"/>
      <c r="AR6" s="1863"/>
      <c r="AS6" s="1863"/>
      <c r="AT6" s="1863"/>
      <c r="AU6" s="1864"/>
      <c r="AV6" s="516"/>
      <c r="AW6" s="1857"/>
      <c r="AX6" s="1855"/>
      <c r="AY6" s="1855"/>
      <c r="AZ6" s="142">
        <v>6</v>
      </c>
      <c r="BA6" s="342" t="s">
        <v>3002</v>
      </c>
      <c r="BB6" s="142"/>
      <c r="BC6" s="142"/>
      <c r="BD6" s="142">
        <v>5</v>
      </c>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row>
    <row r="7" spans="1:84">
      <c r="A7" s="1829"/>
      <c r="B7" s="1829"/>
      <c r="C7" s="1830"/>
      <c r="D7" s="1831"/>
      <c r="E7" s="1831"/>
      <c r="F7" s="1831"/>
      <c r="G7" s="1831"/>
      <c r="H7" s="1831"/>
      <c r="I7" s="1831"/>
      <c r="J7" s="1831"/>
      <c r="K7" s="1831"/>
      <c r="L7" s="1831"/>
      <c r="M7" s="1831"/>
      <c r="N7" s="1832"/>
      <c r="O7" s="1865"/>
      <c r="P7" s="1865"/>
      <c r="Q7" s="1865"/>
      <c r="R7" s="1865"/>
      <c r="S7" s="1865"/>
      <c r="T7" s="1866"/>
      <c r="U7" s="496"/>
      <c r="V7" s="1846"/>
      <c r="W7" s="1848"/>
      <c r="X7" s="1848"/>
      <c r="Y7" s="1817"/>
      <c r="Z7" s="1853"/>
      <c r="AA7" s="1853"/>
      <c r="AB7" s="1853"/>
      <c r="AC7" s="1854"/>
      <c r="AD7" s="1830"/>
      <c r="AE7" s="1831"/>
      <c r="AF7" s="1831"/>
      <c r="AG7" s="1831"/>
      <c r="AH7" s="1831"/>
      <c r="AI7" s="1831"/>
      <c r="AJ7" s="1831"/>
      <c r="AK7" s="1831"/>
      <c r="AL7" s="1831"/>
      <c r="AM7" s="1831"/>
      <c r="AN7" s="1831"/>
      <c r="AO7" s="1832"/>
      <c r="AP7" s="1865"/>
      <c r="AQ7" s="1865"/>
      <c r="AR7" s="1865"/>
      <c r="AS7" s="1865"/>
      <c r="AT7" s="1865"/>
      <c r="AU7" s="1866"/>
      <c r="AV7" s="515"/>
      <c r="AW7" s="1857"/>
      <c r="AX7" s="1855"/>
      <c r="AY7" s="1855"/>
      <c r="AZ7" s="142">
        <v>7</v>
      </c>
      <c r="BA7" s="531" t="s">
        <v>2928</v>
      </c>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row>
    <row r="8" spans="1:84">
      <c r="A8" s="1828"/>
      <c r="B8" s="1828"/>
      <c r="C8" s="1833"/>
      <c r="D8" s="1834"/>
      <c r="E8" s="1834"/>
      <c r="F8" s="1834"/>
      <c r="G8" s="1834"/>
      <c r="H8" s="1834"/>
      <c r="I8" s="1834"/>
      <c r="J8" s="1834"/>
      <c r="K8" s="1834"/>
      <c r="L8" s="1834"/>
      <c r="M8" s="1834"/>
      <c r="N8" s="1835"/>
      <c r="O8" s="1863"/>
      <c r="P8" s="1863"/>
      <c r="Q8" s="1863"/>
      <c r="R8" s="1863"/>
      <c r="S8" s="1863"/>
      <c r="T8" s="1864"/>
      <c r="U8" s="496"/>
      <c r="V8" s="1846"/>
      <c r="W8" s="1848"/>
      <c r="X8" s="1848"/>
      <c r="Y8" s="1817"/>
      <c r="Z8" s="1851"/>
      <c r="AA8" s="1851"/>
      <c r="AB8" s="1851"/>
      <c r="AC8" s="1852"/>
      <c r="AD8" s="1833"/>
      <c r="AE8" s="1834"/>
      <c r="AF8" s="1834"/>
      <c r="AG8" s="1834"/>
      <c r="AH8" s="1834"/>
      <c r="AI8" s="1834"/>
      <c r="AJ8" s="1834"/>
      <c r="AK8" s="1834"/>
      <c r="AL8" s="1834"/>
      <c r="AM8" s="1834"/>
      <c r="AN8" s="1834"/>
      <c r="AO8" s="1835"/>
      <c r="AP8" s="1863"/>
      <c r="AQ8" s="1863"/>
      <c r="AR8" s="1863"/>
      <c r="AS8" s="1863"/>
      <c r="AT8" s="1863"/>
      <c r="AU8" s="1864"/>
      <c r="AV8" s="515"/>
      <c r="AW8" s="1857"/>
      <c r="AX8" s="1855"/>
      <c r="AY8" s="1855"/>
      <c r="AZ8" s="142">
        <v>8</v>
      </c>
      <c r="BA8" s="531" t="s">
        <v>2929</v>
      </c>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row>
    <row r="9" spans="1:84" ht="14.25" thickBot="1">
      <c r="A9" s="1828"/>
      <c r="B9" s="1828"/>
      <c r="C9" s="1836"/>
      <c r="D9" s="1837"/>
      <c r="E9" s="1837"/>
      <c r="F9" s="1837"/>
      <c r="G9" s="1837"/>
      <c r="H9" s="1837"/>
      <c r="I9" s="1837"/>
      <c r="J9" s="1837"/>
      <c r="K9" s="1837"/>
      <c r="L9" s="1837"/>
      <c r="M9" s="1837"/>
      <c r="N9" s="1838"/>
      <c r="O9" s="1867"/>
      <c r="P9" s="1867"/>
      <c r="Q9" s="1867"/>
      <c r="R9" s="1867"/>
      <c r="S9" s="1867"/>
      <c r="T9" s="1868"/>
      <c r="U9" s="496"/>
      <c r="V9" s="1847"/>
      <c r="W9" s="1848"/>
      <c r="X9" s="1848"/>
      <c r="Y9" s="1817"/>
      <c r="Z9" s="1851"/>
      <c r="AA9" s="1851"/>
      <c r="AB9" s="1851"/>
      <c r="AC9" s="1852"/>
      <c r="AD9" s="1836"/>
      <c r="AE9" s="1837"/>
      <c r="AF9" s="1837"/>
      <c r="AG9" s="1837"/>
      <c r="AH9" s="1837"/>
      <c r="AI9" s="1837"/>
      <c r="AJ9" s="1837"/>
      <c r="AK9" s="1837"/>
      <c r="AL9" s="1837"/>
      <c r="AM9" s="1837"/>
      <c r="AN9" s="1837"/>
      <c r="AO9" s="1838"/>
      <c r="AP9" s="1867"/>
      <c r="AQ9" s="1867"/>
      <c r="AR9" s="1867"/>
      <c r="AS9" s="1867"/>
      <c r="AT9" s="1867"/>
      <c r="AU9" s="1868"/>
      <c r="AV9" s="515"/>
      <c r="AW9" s="1858"/>
      <c r="AX9" s="1855"/>
      <c r="AY9" s="1855"/>
      <c r="AZ9" s="142">
        <v>9</v>
      </c>
      <c r="BA9" s="531" t="s">
        <v>2930</v>
      </c>
      <c r="BB9" s="142"/>
      <c r="BC9" s="142"/>
      <c r="BD9" s="142" t="s">
        <v>2947</v>
      </c>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row>
    <row r="10" spans="1:84">
      <c r="A10" s="1822" t="s">
        <v>142</v>
      </c>
      <c r="B10" s="1822"/>
      <c r="C10" s="1822"/>
      <c r="D10" s="1822"/>
      <c r="E10" s="1822"/>
      <c r="F10" s="1822"/>
      <c r="G10" s="1822"/>
      <c r="H10" s="1822"/>
      <c r="I10" s="1822"/>
      <c r="J10" s="1822"/>
      <c r="K10" s="1822"/>
      <c r="L10" s="1822"/>
      <c r="M10" s="1822"/>
      <c r="N10" s="1822"/>
      <c r="O10" s="1822"/>
      <c r="P10" s="1822"/>
      <c r="Q10" s="1822"/>
      <c r="R10" s="1822"/>
      <c r="S10" s="1822"/>
      <c r="T10" s="1822"/>
      <c r="U10" s="452"/>
      <c r="V10" s="452"/>
      <c r="W10" s="452"/>
      <c r="X10" s="452"/>
      <c r="Y10" s="1817"/>
      <c r="Z10" s="1823" t="s">
        <v>142</v>
      </c>
      <c r="AA10" s="1823"/>
      <c r="AB10" s="1823"/>
      <c r="AC10" s="1823"/>
      <c r="AD10" s="1823"/>
      <c r="AE10" s="1823"/>
      <c r="AF10" s="1823"/>
      <c r="AG10" s="1823"/>
      <c r="AH10" s="1823"/>
      <c r="AI10" s="1823"/>
      <c r="AJ10" s="1823"/>
      <c r="AK10" s="1823"/>
      <c r="AL10" s="1823"/>
      <c r="AM10" s="1823"/>
      <c r="AN10" s="1823"/>
      <c r="AO10" s="1823"/>
      <c r="AP10" s="1823"/>
      <c r="AQ10" s="1823"/>
      <c r="AR10" s="1823"/>
      <c r="AS10" s="1823"/>
      <c r="AT10" s="1823"/>
      <c r="AU10" s="1823"/>
      <c r="AV10" s="511"/>
      <c r="AW10" s="517"/>
      <c r="AX10" s="518"/>
      <c r="AY10" s="519"/>
      <c r="AZ10" s="142">
        <v>10</v>
      </c>
      <c r="BA10" s="531"/>
      <c r="BB10" s="142"/>
      <c r="BC10" s="142"/>
      <c r="BD10" s="142" t="s">
        <v>2948</v>
      </c>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row>
    <row r="11" spans="1:84" ht="27" customHeight="1">
      <c r="A11" s="1189" t="s">
        <v>87</v>
      </c>
      <c r="B11" s="1189"/>
      <c r="C11" s="1824">
        <f>'01 使用承認申請書'!D4</f>
        <v>0</v>
      </c>
      <c r="D11" s="1824"/>
      <c r="E11" s="1824"/>
      <c r="F11" s="1824"/>
      <c r="G11" s="1824"/>
      <c r="H11" s="1824"/>
      <c r="I11" s="1824"/>
      <c r="J11" s="1824"/>
      <c r="K11" s="1824"/>
      <c r="L11" s="1824"/>
      <c r="M11" s="1824"/>
      <c r="N11" s="1824"/>
      <c r="O11" s="1824"/>
      <c r="P11" s="1824"/>
      <c r="Q11" s="1824"/>
      <c r="R11" s="1824"/>
      <c r="S11" s="498"/>
      <c r="T11" s="499"/>
      <c r="U11" s="499"/>
      <c r="V11" s="499"/>
      <c r="W11" s="452"/>
      <c r="X11" s="500"/>
      <c r="Y11" s="1817"/>
      <c r="Z11" s="520" t="s">
        <v>87</v>
      </c>
      <c r="AA11" s="520"/>
      <c r="AB11" s="520"/>
      <c r="AC11" s="1825" t="s">
        <v>3003</v>
      </c>
      <c r="AD11" s="1825"/>
      <c r="AE11" s="1825"/>
      <c r="AF11" s="1825"/>
      <c r="AG11" s="1825"/>
      <c r="AH11" s="1825"/>
      <c r="AI11" s="1825"/>
      <c r="AJ11" s="1825"/>
      <c r="AK11" s="1825"/>
      <c r="AL11" s="1825"/>
      <c r="AM11" s="1825"/>
      <c r="AN11" s="1825"/>
      <c r="AO11" s="1825"/>
      <c r="AP11" s="1825"/>
      <c r="AQ11" s="1825"/>
      <c r="AR11" s="1825"/>
      <c r="AS11" s="1825"/>
      <c r="AT11" s="521"/>
      <c r="AU11" s="522"/>
      <c r="AV11" s="522"/>
      <c r="AW11" s="522"/>
      <c r="AX11" s="511"/>
      <c r="AY11" s="523"/>
      <c r="AZ11" s="142">
        <v>11</v>
      </c>
      <c r="BA11" s="531"/>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row>
    <row r="12" spans="1:84" ht="13.5" customHeight="1">
      <c r="A12" s="1826" t="s">
        <v>86</v>
      </c>
      <c r="B12" s="1826"/>
      <c r="C12" s="1818" t="str">
        <f>CONCATENATE('01 使用承認申請書'!B12)</f>
        <v/>
      </c>
      <c r="D12" s="1827" t="s">
        <v>18</v>
      </c>
      <c r="E12" s="1818" t="str">
        <f>CONCATENATE('01 使用承認申請書'!C14)</f>
        <v/>
      </c>
      <c r="F12" s="1821" t="s">
        <v>17</v>
      </c>
      <c r="G12" s="1818" t="str">
        <f>CONCATENATE('01 使用承認申請書'!F14)</f>
        <v/>
      </c>
      <c r="H12" s="1821" t="s">
        <v>16</v>
      </c>
      <c r="I12" s="1821" t="s">
        <v>85</v>
      </c>
      <c r="J12" s="1818" t="str">
        <f>CONCATENATE('01 使用承認申請書'!J14)</f>
        <v/>
      </c>
      <c r="K12" s="1821" t="s">
        <v>46</v>
      </c>
      <c r="L12" s="1821" t="s">
        <v>98</v>
      </c>
      <c r="M12" s="1818" t="str">
        <f>CONCATENATE('01 使用承認申請書'!C16)</f>
        <v/>
      </c>
      <c r="N12" s="1821" t="s">
        <v>17</v>
      </c>
      <c r="O12" s="1818" t="str">
        <f>CONCATENATE('01 使用承認申請書'!F16)</f>
        <v/>
      </c>
      <c r="P12" s="1821" t="s">
        <v>16</v>
      </c>
      <c r="Q12" s="1821" t="s">
        <v>47</v>
      </c>
      <c r="R12" s="1818" t="str">
        <f>CONCATENATE('01 使用承認申請書'!J16)</f>
        <v/>
      </c>
      <c r="S12" s="1827" t="s">
        <v>48</v>
      </c>
      <c r="T12" s="501"/>
      <c r="U12" s="502" t="str">
        <f>CONCATENATE('01 使用承認申請書'!L13)</f>
        <v/>
      </c>
      <c r="V12" s="452" t="s">
        <v>51</v>
      </c>
      <c r="W12" s="502" t="str">
        <f>CONCATENATE('01 使用承認申請書'!Q13)</f>
        <v/>
      </c>
      <c r="X12" s="452" t="s">
        <v>16</v>
      </c>
      <c r="Y12" s="1817"/>
      <c r="Z12" s="1841" t="s">
        <v>86</v>
      </c>
      <c r="AA12" s="1841"/>
      <c r="AB12" s="1841"/>
      <c r="AC12" s="1805" t="s">
        <v>2911</v>
      </c>
      <c r="AD12" s="1703" t="s">
        <v>18</v>
      </c>
      <c r="AE12" s="1805" t="s">
        <v>497</v>
      </c>
      <c r="AF12" s="1703" t="s">
        <v>17</v>
      </c>
      <c r="AG12" s="1805" t="s">
        <v>44</v>
      </c>
      <c r="AH12" s="1703" t="s">
        <v>16</v>
      </c>
      <c r="AI12" s="1703" t="s">
        <v>85</v>
      </c>
      <c r="AJ12" s="1805" t="s">
        <v>507</v>
      </c>
      <c r="AK12" s="1703" t="s">
        <v>61</v>
      </c>
      <c r="AL12" s="1703" t="s">
        <v>98</v>
      </c>
      <c r="AM12" s="1805" t="s">
        <v>497</v>
      </c>
      <c r="AN12" s="1703" t="s">
        <v>17</v>
      </c>
      <c r="AO12" s="1805" t="s">
        <v>2931</v>
      </c>
      <c r="AP12" s="1703" t="s">
        <v>16</v>
      </c>
      <c r="AQ12" s="1703" t="s">
        <v>85</v>
      </c>
      <c r="AR12" s="1805" t="s">
        <v>404</v>
      </c>
      <c r="AS12" s="1703" t="s">
        <v>46</v>
      </c>
      <c r="AT12" s="511"/>
      <c r="AU12" s="518"/>
      <c r="AV12" s="524" t="s">
        <v>498</v>
      </c>
      <c r="AW12" s="511" t="s">
        <v>51</v>
      </c>
      <c r="AX12" s="524" t="s">
        <v>499</v>
      </c>
      <c r="AY12" s="511" t="s">
        <v>16</v>
      </c>
      <c r="AZ12" s="142">
        <v>12</v>
      </c>
      <c r="BA12" s="531"/>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row>
    <row r="13" spans="1:84" ht="13.5" customHeight="1">
      <c r="A13" s="1189"/>
      <c r="B13" s="1189"/>
      <c r="C13" s="1819"/>
      <c r="D13" s="1820"/>
      <c r="E13" s="1819"/>
      <c r="F13" s="1820"/>
      <c r="G13" s="1819"/>
      <c r="H13" s="1820"/>
      <c r="I13" s="1820"/>
      <c r="J13" s="1819"/>
      <c r="K13" s="1820"/>
      <c r="L13" s="1820"/>
      <c r="M13" s="1819"/>
      <c r="N13" s="1820"/>
      <c r="O13" s="1819"/>
      <c r="P13" s="1820"/>
      <c r="Q13" s="1820"/>
      <c r="R13" s="1819"/>
      <c r="S13" s="1820"/>
      <c r="T13" s="494"/>
      <c r="U13" s="1820" t="s">
        <v>52</v>
      </c>
      <c r="V13" s="1820"/>
      <c r="W13" s="503" t="str">
        <f>CONCATENATE('01 使用承認申請書'!V13)</f>
        <v/>
      </c>
      <c r="X13" s="504" t="s">
        <v>16</v>
      </c>
      <c r="Y13" s="1817"/>
      <c r="Z13" s="1422"/>
      <c r="AA13" s="1422"/>
      <c r="AB13" s="1422"/>
      <c r="AC13" s="1806"/>
      <c r="AD13" s="1420"/>
      <c r="AE13" s="1806"/>
      <c r="AF13" s="1420"/>
      <c r="AG13" s="1806"/>
      <c r="AH13" s="1420"/>
      <c r="AI13" s="1420"/>
      <c r="AJ13" s="1806"/>
      <c r="AK13" s="1420"/>
      <c r="AL13" s="1420"/>
      <c r="AM13" s="1806"/>
      <c r="AN13" s="1420"/>
      <c r="AO13" s="1806"/>
      <c r="AP13" s="1420"/>
      <c r="AQ13" s="1420"/>
      <c r="AR13" s="1806"/>
      <c r="AS13" s="1420"/>
      <c r="AT13" s="525"/>
      <c r="AU13" s="513"/>
      <c r="AV13" s="1420" t="s">
        <v>52</v>
      </c>
      <c r="AW13" s="1420"/>
      <c r="AX13" s="526"/>
      <c r="AY13" s="525" t="s">
        <v>16</v>
      </c>
      <c r="AZ13" s="142">
        <v>13</v>
      </c>
      <c r="BA13" s="531"/>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row>
    <row r="14" spans="1:84" ht="9.9499999999999993" customHeight="1">
      <c r="A14" s="505"/>
      <c r="B14" s="505"/>
      <c r="C14" s="506"/>
      <c r="D14" s="506"/>
      <c r="E14" s="506"/>
      <c r="F14" s="506"/>
      <c r="G14" s="506"/>
      <c r="H14" s="506"/>
      <c r="I14" s="506"/>
      <c r="J14" s="506"/>
      <c r="K14" s="506"/>
      <c r="L14" s="506"/>
      <c r="M14" s="506"/>
      <c r="N14" s="506"/>
      <c r="O14" s="506"/>
      <c r="P14" s="506"/>
      <c r="Q14" s="506"/>
      <c r="R14" s="506"/>
      <c r="S14" s="507"/>
      <c r="T14" s="506"/>
      <c r="U14" s="508"/>
      <c r="V14" s="508"/>
      <c r="W14" s="508"/>
      <c r="X14" s="508"/>
      <c r="Y14" s="1817"/>
      <c r="Z14" s="527"/>
      <c r="AA14" s="527"/>
      <c r="AB14" s="527"/>
      <c r="AC14" s="528"/>
      <c r="AD14" s="528"/>
      <c r="AE14" s="528"/>
      <c r="AF14" s="528"/>
      <c r="AG14" s="528"/>
      <c r="AH14" s="528"/>
      <c r="AI14" s="528"/>
      <c r="AJ14" s="528"/>
      <c r="AK14" s="528"/>
      <c r="AL14" s="528"/>
      <c r="AM14" s="528"/>
      <c r="AN14" s="528"/>
      <c r="AO14" s="528"/>
      <c r="AP14" s="528"/>
      <c r="AQ14" s="528"/>
      <c r="AR14" s="528"/>
      <c r="AS14" s="528"/>
      <c r="AT14" s="529"/>
      <c r="AU14" s="528"/>
      <c r="AV14" s="530"/>
      <c r="AW14" s="530"/>
      <c r="AX14" s="530"/>
      <c r="AY14" s="530"/>
      <c r="AZ14" s="142">
        <v>14</v>
      </c>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row>
    <row r="15" spans="1:84" ht="24" customHeight="1" thickBot="1">
      <c r="A15" s="1839" t="s">
        <v>2927</v>
      </c>
      <c r="B15" s="1839"/>
      <c r="C15" s="1839"/>
      <c r="D15" s="1839"/>
      <c r="E15" s="1839"/>
      <c r="F15" s="1839"/>
      <c r="G15" s="1839"/>
      <c r="H15" s="1839"/>
      <c r="I15" s="1839"/>
      <c r="J15" s="1839"/>
      <c r="K15" s="1839"/>
      <c r="L15" s="1839"/>
      <c r="M15" s="1839"/>
      <c r="N15" s="1839"/>
      <c r="O15" s="1839"/>
      <c r="P15" s="1839"/>
      <c r="Q15" s="1839"/>
      <c r="R15" s="1839"/>
      <c r="S15" s="1839"/>
      <c r="T15" s="1839"/>
      <c r="U15" s="1839"/>
      <c r="V15" s="1839"/>
      <c r="W15" s="1839"/>
      <c r="X15" s="1839"/>
      <c r="Y15" s="1817"/>
      <c r="Z15" s="1840" t="s">
        <v>2927</v>
      </c>
      <c r="AA15" s="1840"/>
      <c r="AB15" s="1840"/>
      <c r="AC15" s="1840"/>
      <c r="AD15" s="1840"/>
      <c r="AE15" s="1840"/>
      <c r="AF15" s="1840"/>
      <c r="AG15" s="1840"/>
      <c r="AH15" s="1840"/>
      <c r="AI15" s="1840"/>
      <c r="AJ15" s="1840"/>
      <c r="AK15" s="1840"/>
      <c r="AL15" s="1840"/>
      <c r="AM15" s="1840"/>
      <c r="AN15" s="1840"/>
      <c r="AO15" s="1840"/>
      <c r="AP15" s="1840"/>
      <c r="AQ15" s="1840"/>
      <c r="AR15" s="1840"/>
      <c r="AS15" s="1840"/>
      <c r="AT15" s="1840"/>
      <c r="AU15" s="1840"/>
      <c r="AV15" s="1840"/>
      <c r="AW15" s="1840"/>
      <c r="AX15" s="1840"/>
      <c r="AY15" s="1840"/>
      <c r="AZ15" s="142">
        <v>15</v>
      </c>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row>
    <row r="16" spans="1:84" ht="24.95" customHeight="1" thickBot="1">
      <c r="A16" s="1799" t="s">
        <v>144</v>
      </c>
      <c r="B16" s="1776" t="s">
        <v>2963</v>
      </c>
      <c r="C16" s="1783" t="s">
        <v>2962</v>
      </c>
      <c r="D16" s="1781"/>
      <c r="E16" s="1781"/>
      <c r="F16" s="1781"/>
      <c r="G16" s="1782"/>
      <c r="H16" s="1780" t="s">
        <v>2961</v>
      </c>
      <c r="I16" s="1781"/>
      <c r="J16" s="1781"/>
      <c r="K16" s="1781"/>
      <c r="L16" s="1782"/>
      <c r="M16" s="1780" t="s">
        <v>2960</v>
      </c>
      <c r="N16" s="1781"/>
      <c r="O16" s="1781"/>
      <c r="P16" s="1781"/>
      <c r="Q16" s="1782"/>
      <c r="R16" s="1781" t="s">
        <v>2962</v>
      </c>
      <c r="S16" s="1781"/>
      <c r="T16" s="1781"/>
      <c r="U16" s="1781"/>
      <c r="V16" s="1784"/>
      <c r="W16" s="1787" t="s">
        <v>112</v>
      </c>
      <c r="X16" s="1788"/>
      <c r="Y16" s="1817"/>
      <c r="Z16" s="1803" t="s">
        <v>144</v>
      </c>
      <c r="AA16" s="1774" t="s">
        <v>3081</v>
      </c>
      <c r="AB16" s="1775"/>
      <c r="AC16" s="1776"/>
      <c r="AD16" s="1783" t="s">
        <v>2962</v>
      </c>
      <c r="AE16" s="1781"/>
      <c r="AF16" s="1781"/>
      <c r="AG16" s="1781"/>
      <c r="AH16" s="1782"/>
      <c r="AI16" s="1780" t="s">
        <v>2961</v>
      </c>
      <c r="AJ16" s="1781"/>
      <c r="AK16" s="1781"/>
      <c r="AL16" s="1781"/>
      <c r="AM16" s="1782"/>
      <c r="AN16" s="1780" t="s">
        <v>2960</v>
      </c>
      <c r="AO16" s="1781"/>
      <c r="AP16" s="1781"/>
      <c r="AQ16" s="1781"/>
      <c r="AR16" s="1782"/>
      <c r="AS16" s="1781" t="s">
        <v>2962</v>
      </c>
      <c r="AT16" s="1781"/>
      <c r="AU16" s="1781"/>
      <c r="AV16" s="1781"/>
      <c r="AW16" s="1784"/>
      <c r="AX16" s="1649" t="s">
        <v>112</v>
      </c>
      <c r="AY16" s="1650"/>
      <c r="AZ16" s="142">
        <v>16</v>
      </c>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row>
    <row r="17" spans="1:84" ht="34.5" customHeight="1">
      <c r="A17" s="1800"/>
      <c r="B17" s="1779"/>
      <c r="C17" s="1807"/>
      <c r="D17" s="1808"/>
      <c r="E17" s="729" t="s">
        <v>145</v>
      </c>
      <c r="F17" s="892"/>
      <c r="G17" s="727" t="s">
        <v>2959</v>
      </c>
      <c r="H17" s="1809"/>
      <c r="I17" s="1808"/>
      <c r="J17" s="729" t="s">
        <v>145</v>
      </c>
      <c r="K17" s="892"/>
      <c r="L17" s="727" t="s">
        <v>2959</v>
      </c>
      <c r="M17" s="1809"/>
      <c r="N17" s="1808"/>
      <c r="O17" s="729" t="s">
        <v>145</v>
      </c>
      <c r="P17" s="892"/>
      <c r="Q17" s="727" t="s">
        <v>2959</v>
      </c>
      <c r="R17" s="1809"/>
      <c r="S17" s="1808"/>
      <c r="T17" s="729" t="s">
        <v>145</v>
      </c>
      <c r="U17" s="892"/>
      <c r="V17" s="798" t="s">
        <v>2959</v>
      </c>
      <c r="W17" s="1789"/>
      <c r="X17" s="1790"/>
      <c r="Y17" s="1817"/>
      <c r="Z17" s="1804"/>
      <c r="AA17" s="1777"/>
      <c r="AB17" s="1778"/>
      <c r="AC17" s="1779"/>
      <c r="AD17" s="1435">
        <v>10</v>
      </c>
      <c r="AE17" s="1435"/>
      <c r="AF17" s="728" t="s">
        <v>145</v>
      </c>
      <c r="AG17" s="526" t="s">
        <v>16</v>
      </c>
      <c r="AH17" s="800" t="s">
        <v>2959</v>
      </c>
      <c r="AI17" s="1786">
        <v>10</v>
      </c>
      <c r="AJ17" s="1435"/>
      <c r="AK17" s="728" t="s">
        <v>145</v>
      </c>
      <c r="AL17" s="526" t="s">
        <v>16</v>
      </c>
      <c r="AM17" s="800" t="s">
        <v>2959</v>
      </c>
      <c r="AN17" s="1786">
        <v>11</v>
      </c>
      <c r="AO17" s="1435"/>
      <c r="AP17" s="728" t="s">
        <v>145</v>
      </c>
      <c r="AQ17" s="526" t="s">
        <v>2805</v>
      </c>
      <c r="AR17" s="800" t="s">
        <v>2959</v>
      </c>
      <c r="AS17" s="1786">
        <v>11</v>
      </c>
      <c r="AT17" s="1435"/>
      <c r="AU17" s="728" t="s">
        <v>145</v>
      </c>
      <c r="AV17" s="526" t="s">
        <v>2805</v>
      </c>
      <c r="AW17" s="647" t="s">
        <v>2959</v>
      </c>
      <c r="AX17" s="1651"/>
      <c r="AY17" s="1652"/>
      <c r="AZ17" s="142">
        <v>17</v>
      </c>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row>
    <row r="18" spans="1:84" ht="32.1" customHeight="1" thickBot="1">
      <c r="A18" s="1800"/>
      <c r="B18" s="1779"/>
      <c r="C18" s="1767"/>
      <c r="D18" s="1767"/>
      <c r="E18" s="1767"/>
      <c r="F18" s="1767"/>
      <c r="G18" s="1768"/>
      <c r="H18" s="1769"/>
      <c r="I18" s="1767"/>
      <c r="J18" s="1767"/>
      <c r="K18" s="1767"/>
      <c r="L18" s="1768"/>
      <c r="M18" s="1767"/>
      <c r="N18" s="1767"/>
      <c r="O18" s="1767"/>
      <c r="P18" s="1767"/>
      <c r="Q18" s="1768"/>
      <c r="R18" s="1769"/>
      <c r="S18" s="1767"/>
      <c r="T18" s="1767"/>
      <c r="U18" s="1767"/>
      <c r="V18" s="1770"/>
      <c r="W18" s="1789"/>
      <c r="X18" s="1790"/>
      <c r="Y18" s="1817"/>
      <c r="Z18" s="1804"/>
      <c r="AA18" s="1777"/>
      <c r="AB18" s="1778"/>
      <c r="AC18" s="1779"/>
      <c r="AD18" s="1771" t="s">
        <v>147</v>
      </c>
      <c r="AE18" s="1771"/>
      <c r="AF18" s="1771"/>
      <c r="AG18" s="1771"/>
      <c r="AH18" s="1772"/>
      <c r="AI18" s="1773" t="s">
        <v>147</v>
      </c>
      <c r="AJ18" s="1771"/>
      <c r="AK18" s="1771"/>
      <c r="AL18" s="1771"/>
      <c r="AM18" s="1772"/>
      <c r="AN18" s="1773" t="s">
        <v>147</v>
      </c>
      <c r="AO18" s="1771"/>
      <c r="AP18" s="1771"/>
      <c r="AQ18" s="1771"/>
      <c r="AR18" s="1772"/>
      <c r="AS18" s="1785" t="s">
        <v>2932</v>
      </c>
      <c r="AT18" s="1771"/>
      <c r="AU18" s="1771"/>
      <c r="AV18" s="1771"/>
      <c r="AW18" s="1771"/>
      <c r="AX18" s="1651"/>
      <c r="AY18" s="1652"/>
      <c r="AZ18" s="142">
        <v>18</v>
      </c>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row>
    <row r="19" spans="1:84" s="342" customFormat="1" ht="32.1" customHeight="1" thickTop="1" thickBot="1">
      <c r="A19" s="1800"/>
      <c r="B19" s="1779"/>
      <c r="C19" s="1812" t="str">
        <f>IFERROR(_xlfn.IFS($BB$19="土通常食",$BD$10,$BB$19="日通常食",$BD$9),"")</f>
        <v/>
      </c>
      <c r="D19" s="1812"/>
      <c r="E19" s="1812"/>
      <c r="F19" s="1812"/>
      <c r="G19" s="1813"/>
      <c r="H19" s="1814" t="str">
        <f>IFERROR(_xlfn.IFS($BB$20="土通常食",$BD$10,$BB$20="日通常食",$BD$9),"")</f>
        <v/>
      </c>
      <c r="I19" s="1812"/>
      <c r="J19" s="1812"/>
      <c r="K19" s="1812"/>
      <c r="L19" s="1813"/>
      <c r="M19" s="1814" t="str">
        <f>IFERROR(_xlfn.IFS($BB$21="土通常食",$BD$10,$BB$21="日通常食",$BD$9),"")</f>
        <v/>
      </c>
      <c r="N19" s="1812"/>
      <c r="O19" s="1812"/>
      <c r="P19" s="1812"/>
      <c r="Q19" s="1813"/>
      <c r="R19" s="1815" t="str">
        <f>IFERROR(_xlfn.IFS($BB$22="土通常食",$BD$10,$BB$22="日通常食",$BD$9),"")</f>
        <v/>
      </c>
      <c r="S19" s="1815"/>
      <c r="T19" s="1815"/>
      <c r="U19" s="1815"/>
      <c r="V19" s="1816"/>
      <c r="W19" s="1789"/>
      <c r="X19" s="1790"/>
      <c r="Y19" s="1817"/>
      <c r="Z19" s="1804"/>
      <c r="AA19" s="1777"/>
      <c r="AB19" s="1778"/>
      <c r="AC19" s="1779"/>
      <c r="AD19" s="1793" t="str">
        <f>IFERROR(_xlfn.IFS($AG$17="土",$BD$10,$AG$17="日",$BD$9),"")</f>
        <v>日曜メニュー</v>
      </c>
      <c r="AE19" s="1793"/>
      <c r="AF19" s="1793"/>
      <c r="AG19" s="1793"/>
      <c r="AH19" s="1794"/>
      <c r="AI19" s="1795" t="str">
        <f>IFERROR(_xlfn.IFS($AL$17="土",$BD$10,$AL$17="日",$BD$9),"")</f>
        <v>日曜メニュー</v>
      </c>
      <c r="AJ19" s="1793"/>
      <c r="AK19" s="1793"/>
      <c r="AL19" s="1793"/>
      <c r="AM19" s="1794"/>
      <c r="AN19" s="1796"/>
      <c r="AO19" s="1797"/>
      <c r="AP19" s="1797"/>
      <c r="AQ19" s="1797"/>
      <c r="AR19" s="1798"/>
      <c r="AS19" s="1797"/>
      <c r="AT19" s="1797"/>
      <c r="AU19" s="1797"/>
      <c r="AV19" s="1797"/>
      <c r="AW19" s="1797"/>
      <c r="AX19" s="1651"/>
      <c r="AY19" s="1652"/>
      <c r="AZ19" s="142">
        <v>19</v>
      </c>
      <c r="BA19" s="142"/>
      <c r="BB19" s="142" t="str">
        <f>F17&amp;C18</f>
        <v/>
      </c>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row>
    <row r="20" spans="1:84" ht="15.95" customHeight="1" thickTop="1" thickBot="1">
      <c r="A20" s="1801"/>
      <c r="B20" s="1802"/>
      <c r="C20" s="1810" t="s">
        <v>148</v>
      </c>
      <c r="D20" s="1810"/>
      <c r="E20" s="1810"/>
      <c r="F20" s="1810"/>
      <c r="G20" s="1810"/>
      <c r="H20" s="1810"/>
      <c r="I20" s="1810"/>
      <c r="J20" s="1810"/>
      <c r="K20" s="1810"/>
      <c r="L20" s="1810"/>
      <c r="M20" s="1810"/>
      <c r="N20" s="1810"/>
      <c r="O20" s="1810"/>
      <c r="P20" s="1810"/>
      <c r="Q20" s="1810"/>
      <c r="R20" s="1810"/>
      <c r="S20" s="1810"/>
      <c r="T20" s="1810"/>
      <c r="U20" s="1810"/>
      <c r="V20" s="1811"/>
      <c r="W20" s="1791"/>
      <c r="X20" s="1792"/>
      <c r="Y20" s="1817"/>
      <c r="Z20" s="1804"/>
      <c r="AA20" s="1777"/>
      <c r="AB20" s="1778"/>
      <c r="AC20" s="1779"/>
      <c r="AD20" s="1676" t="s">
        <v>148</v>
      </c>
      <c r="AE20" s="1676"/>
      <c r="AF20" s="1676"/>
      <c r="AG20" s="1676"/>
      <c r="AH20" s="1676"/>
      <c r="AI20" s="1676"/>
      <c r="AJ20" s="1676"/>
      <c r="AK20" s="1676"/>
      <c r="AL20" s="1676"/>
      <c r="AM20" s="1676"/>
      <c r="AN20" s="1676"/>
      <c r="AO20" s="1676"/>
      <c r="AP20" s="1676"/>
      <c r="AQ20" s="1676"/>
      <c r="AR20" s="1676"/>
      <c r="AS20" s="1676"/>
      <c r="AT20" s="1676"/>
      <c r="AU20" s="1676"/>
      <c r="AV20" s="1676"/>
      <c r="AW20" s="1676"/>
      <c r="AX20" s="1653"/>
      <c r="AY20" s="1654"/>
      <c r="AZ20" s="142">
        <v>20</v>
      </c>
      <c r="BA20" s="142"/>
      <c r="BB20" s="142" t="str">
        <f>K17&amp;H18</f>
        <v/>
      </c>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row>
    <row r="21" spans="1:84" ht="15.95" customHeight="1">
      <c r="A21" s="1761"/>
      <c r="B21" s="1762" t="s">
        <v>446</v>
      </c>
      <c r="C21" s="1763"/>
      <c r="D21" s="1764"/>
      <c r="E21" s="1764"/>
      <c r="F21" s="1764"/>
      <c r="G21" s="1764"/>
      <c r="H21" s="1765"/>
      <c r="I21" s="1765"/>
      <c r="J21" s="1765"/>
      <c r="K21" s="1765"/>
      <c r="L21" s="1765"/>
      <c r="M21" s="1765"/>
      <c r="N21" s="1765"/>
      <c r="O21" s="1765"/>
      <c r="P21" s="1765"/>
      <c r="Q21" s="1765"/>
      <c r="R21" s="1765"/>
      <c r="S21" s="1765"/>
      <c r="T21" s="1765"/>
      <c r="U21" s="1765"/>
      <c r="V21" s="1766"/>
      <c r="W21" s="1754"/>
      <c r="X21" s="1755"/>
      <c r="Y21" s="1817"/>
      <c r="Z21" s="1756" t="s">
        <v>149</v>
      </c>
      <c r="AA21" s="1757" t="s">
        <v>128</v>
      </c>
      <c r="AB21" s="1758"/>
      <c r="AC21" s="1759"/>
      <c r="AD21" s="1760"/>
      <c r="AE21" s="1760"/>
      <c r="AF21" s="1760"/>
      <c r="AG21" s="1760"/>
      <c r="AH21" s="1760"/>
      <c r="AI21" s="1750"/>
      <c r="AJ21" s="1750"/>
      <c r="AK21" s="1750"/>
      <c r="AL21" s="1750"/>
      <c r="AM21" s="1750"/>
      <c r="AN21" s="1750"/>
      <c r="AO21" s="1750"/>
      <c r="AP21" s="1750"/>
      <c r="AQ21" s="1750"/>
      <c r="AR21" s="1750"/>
      <c r="AS21" s="1750"/>
      <c r="AT21" s="1750"/>
      <c r="AU21" s="1750"/>
      <c r="AV21" s="1750"/>
      <c r="AW21" s="1751"/>
      <c r="AX21" s="1752"/>
      <c r="AY21" s="1753"/>
      <c r="AZ21" s="142">
        <v>21</v>
      </c>
      <c r="BA21" s="532" t="s">
        <v>446</v>
      </c>
      <c r="BB21" s="142" t="str">
        <f>P17&amp;M18</f>
        <v/>
      </c>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row>
    <row r="22" spans="1:84" ht="15.95" customHeight="1">
      <c r="A22" s="1717"/>
      <c r="B22" s="1693"/>
      <c r="C22" s="1721"/>
      <c r="D22" s="1722"/>
      <c r="E22" s="1722"/>
      <c r="F22" s="1722"/>
      <c r="G22" s="1722"/>
      <c r="H22" s="1690"/>
      <c r="I22" s="1690"/>
      <c r="J22" s="1690"/>
      <c r="K22" s="1690"/>
      <c r="L22" s="1690"/>
      <c r="M22" s="1690"/>
      <c r="N22" s="1690"/>
      <c r="O22" s="1690"/>
      <c r="P22" s="1690"/>
      <c r="Q22" s="1690"/>
      <c r="R22" s="1690"/>
      <c r="S22" s="1690"/>
      <c r="T22" s="1690"/>
      <c r="U22" s="1690"/>
      <c r="V22" s="1691"/>
      <c r="W22" s="1709"/>
      <c r="X22" s="1710"/>
      <c r="Y22" s="1817"/>
      <c r="Z22" s="1714"/>
      <c r="AA22" s="1697"/>
      <c r="AB22" s="1698"/>
      <c r="AC22" s="1699"/>
      <c r="AD22" s="1747"/>
      <c r="AE22" s="1747"/>
      <c r="AF22" s="1747"/>
      <c r="AG22" s="1747"/>
      <c r="AH22" s="1747"/>
      <c r="AI22" s="1679"/>
      <c r="AJ22" s="1679"/>
      <c r="AK22" s="1679"/>
      <c r="AL22" s="1679"/>
      <c r="AM22" s="1679"/>
      <c r="AN22" s="1679"/>
      <c r="AO22" s="1679"/>
      <c r="AP22" s="1679"/>
      <c r="AQ22" s="1679"/>
      <c r="AR22" s="1679"/>
      <c r="AS22" s="1679"/>
      <c r="AT22" s="1679"/>
      <c r="AU22" s="1679"/>
      <c r="AV22" s="1679"/>
      <c r="AW22" s="1680"/>
      <c r="AX22" s="1727"/>
      <c r="AY22" s="1679"/>
      <c r="AZ22" s="142">
        <v>22</v>
      </c>
      <c r="BA22" s="532" t="s">
        <v>447</v>
      </c>
      <c r="BB22" s="142" t="str">
        <f>U17&amp;R18</f>
        <v/>
      </c>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row>
    <row r="23" spans="1:84" ht="15.95" customHeight="1">
      <c r="A23" s="1717"/>
      <c r="B23" s="1692" t="s">
        <v>448</v>
      </c>
      <c r="C23" s="1721"/>
      <c r="D23" s="1722"/>
      <c r="E23" s="1722"/>
      <c r="F23" s="1722"/>
      <c r="G23" s="1722"/>
      <c r="H23" s="1690"/>
      <c r="I23" s="1690"/>
      <c r="J23" s="1690"/>
      <c r="K23" s="1690"/>
      <c r="L23" s="1690"/>
      <c r="M23" s="1690"/>
      <c r="N23" s="1690"/>
      <c r="O23" s="1690"/>
      <c r="P23" s="1690"/>
      <c r="Q23" s="1690"/>
      <c r="R23" s="1690"/>
      <c r="S23" s="1690"/>
      <c r="T23" s="1690"/>
      <c r="U23" s="1690"/>
      <c r="V23" s="1691"/>
      <c r="W23" s="1709"/>
      <c r="X23" s="1710"/>
      <c r="Y23" s="1817"/>
      <c r="Z23" s="1714"/>
      <c r="AA23" s="1728" t="s">
        <v>129</v>
      </c>
      <c r="AB23" s="1729"/>
      <c r="AC23" s="1730"/>
      <c r="AD23" s="1747"/>
      <c r="AE23" s="1747"/>
      <c r="AF23" s="1747"/>
      <c r="AG23" s="1747"/>
      <c r="AH23" s="1747"/>
      <c r="AI23" s="1679"/>
      <c r="AJ23" s="1679"/>
      <c r="AK23" s="1679"/>
      <c r="AL23" s="1679"/>
      <c r="AM23" s="1679"/>
      <c r="AN23" s="1679"/>
      <c r="AO23" s="1679"/>
      <c r="AP23" s="1679"/>
      <c r="AQ23" s="1679"/>
      <c r="AR23" s="1679"/>
      <c r="AS23" s="1679"/>
      <c r="AT23" s="1679"/>
      <c r="AU23" s="1679"/>
      <c r="AV23" s="1679"/>
      <c r="AW23" s="1680"/>
      <c r="AX23" s="1727"/>
      <c r="AY23" s="1679"/>
      <c r="AZ23" s="142">
        <v>23</v>
      </c>
      <c r="BA23" s="142" t="s">
        <v>448</v>
      </c>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row>
    <row r="24" spans="1:84" ht="15.95" customHeight="1">
      <c r="A24" s="1717"/>
      <c r="B24" s="1693"/>
      <c r="C24" s="1721"/>
      <c r="D24" s="1722"/>
      <c r="E24" s="1722"/>
      <c r="F24" s="1722"/>
      <c r="G24" s="1722"/>
      <c r="H24" s="1690"/>
      <c r="I24" s="1690"/>
      <c r="J24" s="1690"/>
      <c r="K24" s="1690"/>
      <c r="L24" s="1690"/>
      <c r="M24" s="1690"/>
      <c r="N24" s="1690"/>
      <c r="O24" s="1690"/>
      <c r="P24" s="1690"/>
      <c r="Q24" s="1690"/>
      <c r="R24" s="1690"/>
      <c r="S24" s="1690"/>
      <c r="T24" s="1690"/>
      <c r="U24" s="1690"/>
      <c r="V24" s="1691"/>
      <c r="W24" s="1709"/>
      <c r="X24" s="1710"/>
      <c r="Y24" s="1817"/>
      <c r="Z24" s="1714"/>
      <c r="AA24" s="1731"/>
      <c r="AB24" s="1732"/>
      <c r="AC24" s="1733"/>
      <c r="AD24" s="1747"/>
      <c r="AE24" s="1747"/>
      <c r="AF24" s="1747"/>
      <c r="AG24" s="1747"/>
      <c r="AH24" s="1747"/>
      <c r="AI24" s="1679"/>
      <c r="AJ24" s="1679"/>
      <c r="AK24" s="1679"/>
      <c r="AL24" s="1679"/>
      <c r="AM24" s="1679"/>
      <c r="AN24" s="1679"/>
      <c r="AO24" s="1679"/>
      <c r="AP24" s="1679"/>
      <c r="AQ24" s="1679"/>
      <c r="AR24" s="1679"/>
      <c r="AS24" s="1679"/>
      <c r="AT24" s="1679"/>
      <c r="AU24" s="1679"/>
      <c r="AV24" s="1679"/>
      <c r="AW24" s="1680"/>
      <c r="AX24" s="1727"/>
      <c r="AY24" s="1679"/>
      <c r="AZ24" s="142">
        <v>24</v>
      </c>
      <c r="BA24" s="142" t="s">
        <v>447</v>
      </c>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row>
    <row r="25" spans="1:84" ht="15.95" customHeight="1">
      <c r="A25" s="1717"/>
      <c r="B25" s="1700" t="s">
        <v>130</v>
      </c>
      <c r="C25" s="1721"/>
      <c r="D25" s="1722"/>
      <c r="E25" s="1722"/>
      <c r="F25" s="1722"/>
      <c r="G25" s="1722"/>
      <c r="H25" s="1690"/>
      <c r="I25" s="1690"/>
      <c r="J25" s="1690"/>
      <c r="K25" s="1690"/>
      <c r="L25" s="1690"/>
      <c r="M25" s="1690"/>
      <c r="N25" s="1690"/>
      <c r="O25" s="1690"/>
      <c r="P25" s="1690"/>
      <c r="Q25" s="1690"/>
      <c r="R25" s="1690"/>
      <c r="S25" s="1690"/>
      <c r="T25" s="1690"/>
      <c r="U25" s="1690"/>
      <c r="V25" s="1691"/>
      <c r="W25" s="1709"/>
      <c r="X25" s="1710"/>
      <c r="Y25" s="1817"/>
      <c r="Z25" s="1714"/>
      <c r="AA25" s="1702" t="s">
        <v>151</v>
      </c>
      <c r="AB25" s="1703"/>
      <c r="AC25" s="1704"/>
      <c r="AD25" s="1747"/>
      <c r="AE25" s="1747"/>
      <c r="AF25" s="1747"/>
      <c r="AG25" s="1747"/>
      <c r="AH25" s="1747"/>
      <c r="AI25" s="1679"/>
      <c r="AJ25" s="1679"/>
      <c r="AK25" s="1679"/>
      <c r="AL25" s="1679"/>
      <c r="AM25" s="1679"/>
      <c r="AN25" s="1679"/>
      <c r="AO25" s="1679"/>
      <c r="AP25" s="1679"/>
      <c r="AQ25" s="1679"/>
      <c r="AR25" s="1679"/>
      <c r="AS25" s="1679"/>
      <c r="AT25" s="1679"/>
      <c r="AU25" s="1679"/>
      <c r="AV25" s="1679"/>
      <c r="AW25" s="1680"/>
      <c r="AX25" s="1727"/>
      <c r="AY25" s="1679"/>
      <c r="AZ25" s="142">
        <v>25</v>
      </c>
      <c r="BA25" s="142" t="s">
        <v>449</v>
      </c>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row>
    <row r="26" spans="1:84" ht="15.95" customHeight="1">
      <c r="A26" s="1717"/>
      <c r="B26" s="1701"/>
      <c r="C26" s="1721"/>
      <c r="D26" s="1722"/>
      <c r="E26" s="1722"/>
      <c r="F26" s="1722"/>
      <c r="G26" s="1722"/>
      <c r="H26" s="1690"/>
      <c r="I26" s="1690"/>
      <c r="J26" s="1690"/>
      <c r="K26" s="1690"/>
      <c r="L26" s="1690"/>
      <c r="M26" s="1690"/>
      <c r="N26" s="1690"/>
      <c r="O26" s="1690"/>
      <c r="P26" s="1690"/>
      <c r="Q26" s="1690"/>
      <c r="R26" s="1690"/>
      <c r="S26" s="1690"/>
      <c r="T26" s="1690"/>
      <c r="U26" s="1690"/>
      <c r="V26" s="1691"/>
      <c r="W26" s="1709"/>
      <c r="X26" s="1710"/>
      <c r="Y26" s="1817"/>
      <c r="Z26" s="1714"/>
      <c r="AA26" s="1705"/>
      <c r="AB26" s="1420"/>
      <c r="AC26" s="1706"/>
      <c r="AD26" s="1747"/>
      <c r="AE26" s="1747"/>
      <c r="AF26" s="1747"/>
      <c r="AG26" s="1747"/>
      <c r="AH26" s="1747"/>
      <c r="AI26" s="1679"/>
      <c r="AJ26" s="1679"/>
      <c r="AK26" s="1679"/>
      <c r="AL26" s="1679"/>
      <c r="AM26" s="1679"/>
      <c r="AN26" s="1679"/>
      <c r="AO26" s="1679"/>
      <c r="AP26" s="1679"/>
      <c r="AQ26" s="1679"/>
      <c r="AR26" s="1679"/>
      <c r="AS26" s="1679"/>
      <c r="AT26" s="1679"/>
      <c r="AU26" s="1679"/>
      <c r="AV26" s="1679"/>
      <c r="AW26" s="1680"/>
      <c r="AX26" s="1727"/>
      <c r="AY26" s="1679"/>
      <c r="AZ26" s="142">
        <v>26</v>
      </c>
      <c r="BA26" s="142" t="s">
        <v>447</v>
      </c>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row>
    <row r="27" spans="1:84" ht="15.95" customHeight="1">
      <c r="A27" s="1717"/>
      <c r="B27" s="1700" t="s">
        <v>450</v>
      </c>
      <c r="C27" s="1721"/>
      <c r="D27" s="1722"/>
      <c r="E27" s="1722"/>
      <c r="F27" s="1722"/>
      <c r="G27" s="1722"/>
      <c r="H27" s="1690"/>
      <c r="I27" s="1690"/>
      <c r="J27" s="1690"/>
      <c r="K27" s="1690"/>
      <c r="L27" s="1690"/>
      <c r="M27" s="1690"/>
      <c r="N27" s="1690"/>
      <c r="O27" s="1690"/>
      <c r="P27" s="1690"/>
      <c r="Q27" s="1690"/>
      <c r="R27" s="1690"/>
      <c r="S27" s="1690"/>
      <c r="T27" s="1690"/>
      <c r="U27" s="1690"/>
      <c r="V27" s="1691"/>
      <c r="W27" s="1709"/>
      <c r="X27" s="1710"/>
      <c r="Y27" s="1817"/>
      <c r="Z27" s="1714"/>
      <c r="AA27" s="1702" t="s">
        <v>131</v>
      </c>
      <c r="AB27" s="1703"/>
      <c r="AC27" s="1704"/>
      <c r="AD27" s="1747"/>
      <c r="AE27" s="1747"/>
      <c r="AF27" s="1747"/>
      <c r="AG27" s="1747"/>
      <c r="AH27" s="1747"/>
      <c r="AI27" s="1679"/>
      <c r="AJ27" s="1679"/>
      <c r="AK27" s="1679"/>
      <c r="AL27" s="1679"/>
      <c r="AM27" s="1679"/>
      <c r="AN27" s="1679"/>
      <c r="AO27" s="1679"/>
      <c r="AP27" s="1679"/>
      <c r="AQ27" s="1679"/>
      <c r="AR27" s="1679"/>
      <c r="AS27" s="1679"/>
      <c r="AT27" s="1679"/>
      <c r="AU27" s="1679"/>
      <c r="AV27" s="1679"/>
      <c r="AW27" s="1680"/>
      <c r="AX27" s="1727"/>
      <c r="AY27" s="1679"/>
      <c r="AZ27" s="142">
        <v>27</v>
      </c>
      <c r="BA27" s="142" t="s">
        <v>450</v>
      </c>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row>
    <row r="28" spans="1:84" ht="15.95" customHeight="1">
      <c r="A28" s="1742"/>
      <c r="B28" s="1701"/>
      <c r="C28" s="1743"/>
      <c r="D28" s="1744"/>
      <c r="E28" s="1744"/>
      <c r="F28" s="1744"/>
      <c r="G28" s="1744"/>
      <c r="H28" s="1690"/>
      <c r="I28" s="1690"/>
      <c r="J28" s="1690"/>
      <c r="K28" s="1690"/>
      <c r="L28" s="1690"/>
      <c r="M28" s="1690"/>
      <c r="N28" s="1690"/>
      <c r="O28" s="1690"/>
      <c r="P28" s="1690"/>
      <c r="Q28" s="1690"/>
      <c r="R28" s="1690"/>
      <c r="S28" s="1690"/>
      <c r="T28" s="1690"/>
      <c r="U28" s="1690"/>
      <c r="V28" s="1691"/>
      <c r="W28" s="1709"/>
      <c r="X28" s="1710"/>
      <c r="Y28" s="1817"/>
      <c r="Z28" s="1740"/>
      <c r="AA28" s="1705"/>
      <c r="AB28" s="1420"/>
      <c r="AC28" s="1706"/>
      <c r="AD28" s="1749"/>
      <c r="AE28" s="1749"/>
      <c r="AF28" s="1749"/>
      <c r="AG28" s="1749"/>
      <c r="AH28" s="1749"/>
      <c r="AI28" s="1679"/>
      <c r="AJ28" s="1679"/>
      <c r="AK28" s="1679"/>
      <c r="AL28" s="1679"/>
      <c r="AM28" s="1679"/>
      <c r="AN28" s="1679"/>
      <c r="AO28" s="1679"/>
      <c r="AP28" s="1679"/>
      <c r="AQ28" s="1679"/>
      <c r="AR28" s="1679"/>
      <c r="AS28" s="1679"/>
      <c r="AT28" s="1679"/>
      <c r="AU28" s="1679"/>
      <c r="AV28" s="1679"/>
      <c r="AW28" s="1680"/>
      <c r="AX28" s="1727"/>
      <c r="AY28" s="1679"/>
      <c r="AZ28" s="142">
        <v>28</v>
      </c>
      <c r="BA28" s="142" t="s">
        <v>447</v>
      </c>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row>
    <row r="29" spans="1:84" ht="15.95" customHeight="1">
      <c r="A29" s="1716"/>
      <c r="B29" s="1692" t="s">
        <v>446</v>
      </c>
      <c r="C29" s="1719"/>
      <c r="D29" s="1720"/>
      <c r="E29" s="1720"/>
      <c r="F29" s="1720"/>
      <c r="G29" s="1720"/>
      <c r="H29" s="1690"/>
      <c r="I29" s="1690"/>
      <c r="J29" s="1690"/>
      <c r="K29" s="1690"/>
      <c r="L29" s="1690"/>
      <c r="M29" s="1690"/>
      <c r="N29" s="1690"/>
      <c r="O29" s="1690"/>
      <c r="P29" s="1690"/>
      <c r="Q29" s="1690"/>
      <c r="R29" s="1690"/>
      <c r="S29" s="1690"/>
      <c r="T29" s="1690"/>
      <c r="U29" s="1690"/>
      <c r="V29" s="1691"/>
      <c r="W29" s="1709"/>
      <c r="X29" s="1710"/>
      <c r="Y29" s="1817"/>
      <c r="Z29" s="1713" t="s">
        <v>152</v>
      </c>
      <c r="AA29" s="1728" t="s">
        <v>128</v>
      </c>
      <c r="AB29" s="1729"/>
      <c r="AC29" s="1730"/>
      <c r="AD29" s="1746"/>
      <c r="AE29" s="1746"/>
      <c r="AF29" s="1746"/>
      <c r="AG29" s="1746"/>
      <c r="AH29" s="1746"/>
      <c r="AI29" s="1679"/>
      <c r="AJ29" s="1679"/>
      <c r="AK29" s="1679"/>
      <c r="AL29" s="1679"/>
      <c r="AM29" s="1679"/>
      <c r="AN29" s="1679"/>
      <c r="AO29" s="1679"/>
      <c r="AP29" s="1679"/>
      <c r="AQ29" s="1679"/>
      <c r="AR29" s="1679"/>
      <c r="AS29" s="1679"/>
      <c r="AT29" s="1679"/>
      <c r="AU29" s="1679"/>
      <c r="AV29" s="1679"/>
      <c r="AW29" s="1680"/>
      <c r="AX29" s="1727"/>
      <c r="AY29" s="1679"/>
      <c r="AZ29" s="142">
        <v>29</v>
      </c>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row>
    <row r="30" spans="1:84" ht="15.95" customHeight="1">
      <c r="A30" s="1717"/>
      <c r="B30" s="1693"/>
      <c r="C30" s="1721"/>
      <c r="D30" s="1722"/>
      <c r="E30" s="1722"/>
      <c r="F30" s="1722"/>
      <c r="G30" s="1722"/>
      <c r="H30" s="1690"/>
      <c r="I30" s="1690"/>
      <c r="J30" s="1690"/>
      <c r="K30" s="1690"/>
      <c r="L30" s="1690"/>
      <c r="M30" s="1690"/>
      <c r="N30" s="1690"/>
      <c r="O30" s="1690"/>
      <c r="P30" s="1690"/>
      <c r="Q30" s="1690"/>
      <c r="R30" s="1690"/>
      <c r="S30" s="1690"/>
      <c r="T30" s="1690"/>
      <c r="U30" s="1690"/>
      <c r="V30" s="1691"/>
      <c r="W30" s="1709"/>
      <c r="X30" s="1710"/>
      <c r="Y30" s="1817"/>
      <c r="Z30" s="1714"/>
      <c r="AA30" s="1731"/>
      <c r="AB30" s="1732"/>
      <c r="AC30" s="1733"/>
      <c r="AD30" s="1747"/>
      <c r="AE30" s="1747"/>
      <c r="AF30" s="1747"/>
      <c r="AG30" s="1747"/>
      <c r="AH30" s="1747"/>
      <c r="AI30" s="1679"/>
      <c r="AJ30" s="1679"/>
      <c r="AK30" s="1679"/>
      <c r="AL30" s="1679"/>
      <c r="AM30" s="1679"/>
      <c r="AN30" s="1679"/>
      <c r="AO30" s="1679"/>
      <c r="AP30" s="1679"/>
      <c r="AQ30" s="1679"/>
      <c r="AR30" s="1679"/>
      <c r="AS30" s="1679"/>
      <c r="AT30" s="1679"/>
      <c r="AU30" s="1679"/>
      <c r="AV30" s="1679"/>
      <c r="AW30" s="1680"/>
      <c r="AX30" s="1727"/>
      <c r="AY30" s="1679"/>
      <c r="AZ30" s="142">
        <v>30</v>
      </c>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row>
    <row r="31" spans="1:84" ht="15.95" customHeight="1">
      <c r="A31" s="1717"/>
      <c r="B31" s="1692" t="s">
        <v>448</v>
      </c>
      <c r="C31" s="1721"/>
      <c r="D31" s="1722"/>
      <c r="E31" s="1722"/>
      <c r="F31" s="1722"/>
      <c r="G31" s="1722"/>
      <c r="H31" s="1690"/>
      <c r="I31" s="1690"/>
      <c r="J31" s="1690"/>
      <c r="K31" s="1690"/>
      <c r="L31" s="1690"/>
      <c r="M31" s="1690"/>
      <c r="N31" s="1690"/>
      <c r="O31" s="1690"/>
      <c r="P31" s="1690"/>
      <c r="Q31" s="1690"/>
      <c r="R31" s="1690"/>
      <c r="S31" s="1690"/>
      <c r="T31" s="1690"/>
      <c r="U31" s="1690"/>
      <c r="V31" s="1691"/>
      <c r="W31" s="1709"/>
      <c r="X31" s="1710"/>
      <c r="Y31" s="1817"/>
      <c r="Z31" s="1714"/>
      <c r="AA31" s="1728" t="s">
        <v>129</v>
      </c>
      <c r="AB31" s="1729"/>
      <c r="AC31" s="1730"/>
      <c r="AD31" s="1747"/>
      <c r="AE31" s="1747"/>
      <c r="AF31" s="1747"/>
      <c r="AG31" s="1747"/>
      <c r="AH31" s="1747"/>
      <c r="AI31" s="1679"/>
      <c r="AJ31" s="1679"/>
      <c r="AK31" s="1679"/>
      <c r="AL31" s="1679"/>
      <c r="AM31" s="1679"/>
      <c r="AN31" s="1679"/>
      <c r="AO31" s="1679"/>
      <c r="AP31" s="1679"/>
      <c r="AQ31" s="1679"/>
      <c r="AR31" s="1679"/>
      <c r="AS31" s="1679"/>
      <c r="AT31" s="1679"/>
      <c r="AU31" s="1679"/>
      <c r="AV31" s="1679"/>
      <c r="AW31" s="1680"/>
      <c r="AX31" s="1727"/>
      <c r="AY31" s="1679"/>
      <c r="AZ31" s="142">
        <v>31</v>
      </c>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row>
    <row r="32" spans="1:84" ht="15.95" customHeight="1" thickBot="1">
      <c r="A32" s="1718"/>
      <c r="B32" s="1693"/>
      <c r="C32" s="1723"/>
      <c r="D32" s="1724"/>
      <c r="E32" s="1724"/>
      <c r="F32" s="1724"/>
      <c r="G32" s="1724"/>
      <c r="H32" s="1725"/>
      <c r="I32" s="1725"/>
      <c r="J32" s="1725"/>
      <c r="K32" s="1725"/>
      <c r="L32" s="1725"/>
      <c r="M32" s="1725"/>
      <c r="N32" s="1725"/>
      <c r="O32" s="1725"/>
      <c r="P32" s="1725"/>
      <c r="Q32" s="1725"/>
      <c r="R32" s="1725"/>
      <c r="S32" s="1725"/>
      <c r="T32" s="1725"/>
      <c r="U32" s="1725"/>
      <c r="V32" s="1726"/>
      <c r="W32" s="1709"/>
      <c r="X32" s="1710"/>
      <c r="Y32" s="1817"/>
      <c r="Z32" s="1714"/>
      <c r="AA32" s="1731"/>
      <c r="AB32" s="1732"/>
      <c r="AC32" s="1733"/>
      <c r="AD32" s="1748"/>
      <c r="AE32" s="1748"/>
      <c r="AF32" s="1748"/>
      <c r="AG32" s="1748"/>
      <c r="AH32" s="1748"/>
      <c r="AI32" s="1681"/>
      <c r="AJ32" s="1681"/>
      <c r="AK32" s="1681"/>
      <c r="AL32" s="1681"/>
      <c r="AM32" s="1681"/>
      <c r="AN32" s="1681"/>
      <c r="AO32" s="1681"/>
      <c r="AP32" s="1681"/>
      <c r="AQ32" s="1681"/>
      <c r="AR32" s="1681"/>
      <c r="AS32" s="1681"/>
      <c r="AT32" s="1681"/>
      <c r="AU32" s="1681"/>
      <c r="AV32" s="1681"/>
      <c r="AW32" s="1682"/>
      <c r="AX32" s="1745"/>
      <c r="AY32" s="1681"/>
      <c r="AZ32" s="891" t="s">
        <v>404</v>
      </c>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row>
    <row r="33" spans="1:84" ht="15.95" customHeight="1">
      <c r="A33" s="1717"/>
      <c r="B33" s="1700" t="s">
        <v>130</v>
      </c>
      <c r="C33" s="1721"/>
      <c r="D33" s="1722"/>
      <c r="E33" s="1722"/>
      <c r="F33" s="1722"/>
      <c r="G33" s="1722"/>
      <c r="H33" s="1690"/>
      <c r="I33" s="1690"/>
      <c r="J33" s="1690"/>
      <c r="K33" s="1690"/>
      <c r="L33" s="1690"/>
      <c r="M33" s="1690"/>
      <c r="N33" s="1690"/>
      <c r="O33" s="1690"/>
      <c r="P33" s="1690"/>
      <c r="Q33" s="1690"/>
      <c r="R33" s="1690"/>
      <c r="S33" s="1690"/>
      <c r="T33" s="1690"/>
      <c r="U33" s="1690"/>
      <c r="V33" s="1691"/>
      <c r="W33" s="1709"/>
      <c r="X33" s="1710"/>
      <c r="Y33" s="1817"/>
      <c r="Z33" s="1714"/>
      <c r="AA33" s="1702" t="s">
        <v>151</v>
      </c>
      <c r="AB33" s="1703"/>
      <c r="AC33" s="1704"/>
      <c r="AD33" s="1747"/>
      <c r="AE33" s="1747"/>
      <c r="AF33" s="1747"/>
      <c r="AG33" s="1747"/>
      <c r="AH33" s="1747"/>
      <c r="AI33" s="1679"/>
      <c r="AJ33" s="1679"/>
      <c r="AK33" s="1679"/>
      <c r="AL33" s="1679"/>
      <c r="AM33" s="1679"/>
      <c r="AN33" s="1679"/>
      <c r="AO33" s="1679"/>
      <c r="AP33" s="1679"/>
      <c r="AQ33" s="1679"/>
      <c r="AR33" s="1679"/>
      <c r="AS33" s="1679"/>
      <c r="AT33" s="1679"/>
      <c r="AU33" s="1679"/>
      <c r="AV33" s="1679"/>
      <c r="AW33" s="1680"/>
      <c r="AX33" s="1727"/>
      <c r="AY33" s="1679"/>
      <c r="AZ33" s="891" t="s">
        <v>1831</v>
      </c>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row>
    <row r="34" spans="1:84" ht="15.95" customHeight="1">
      <c r="A34" s="1717"/>
      <c r="B34" s="1701"/>
      <c r="C34" s="1721"/>
      <c r="D34" s="1722"/>
      <c r="E34" s="1722"/>
      <c r="F34" s="1722"/>
      <c r="G34" s="1722"/>
      <c r="H34" s="1690"/>
      <c r="I34" s="1690"/>
      <c r="J34" s="1690"/>
      <c r="K34" s="1690"/>
      <c r="L34" s="1690"/>
      <c r="M34" s="1690"/>
      <c r="N34" s="1690"/>
      <c r="O34" s="1690"/>
      <c r="P34" s="1690"/>
      <c r="Q34" s="1690"/>
      <c r="R34" s="1690"/>
      <c r="S34" s="1690"/>
      <c r="T34" s="1690"/>
      <c r="U34" s="1690"/>
      <c r="V34" s="1691"/>
      <c r="W34" s="1709"/>
      <c r="X34" s="1710"/>
      <c r="Y34" s="1817"/>
      <c r="Z34" s="1714"/>
      <c r="AA34" s="1705"/>
      <c r="AB34" s="1420"/>
      <c r="AC34" s="1706"/>
      <c r="AD34" s="1747"/>
      <c r="AE34" s="1747"/>
      <c r="AF34" s="1747"/>
      <c r="AG34" s="1747"/>
      <c r="AH34" s="1747"/>
      <c r="AI34" s="1679"/>
      <c r="AJ34" s="1679"/>
      <c r="AK34" s="1679"/>
      <c r="AL34" s="1679"/>
      <c r="AM34" s="1679"/>
      <c r="AN34" s="1679"/>
      <c r="AO34" s="1679"/>
      <c r="AP34" s="1679"/>
      <c r="AQ34" s="1679"/>
      <c r="AR34" s="1679"/>
      <c r="AS34" s="1679"/>
      <c r="AT34" s="1679"/>
      <c r="AU34" s="1679"/>
      <c r="AV34" s="1679"/>
      <c r="AW34" s="1680"/>
      <c r="AX34" s="1727"/>
      <c r="AY34" s="1679"/>
      <c r="AZ34" s="891" t="s">
        <v>1832</v>
      </c>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row>
    <row r="35" spans="1:84" ht="15.95" customHeight="1">
      <c r="A35" s="1717"/>
      <c r="B35" s="1700" t="s">
        <v>450</v>
      </c>
      <c r="C35" s="1721"/>
      <c r="D35" s="1722"/>
      <c r="E35" s="1722"/>
      <c r="F35" s="1722"/>
      <c r="G35" s="1722"/>
      <c r="H35" s="1690"/>
      <c r="I35" s="1690"/>
      <c r="J35" s="1690"/>
      <c r="K35" s="1690"/>
      <c r="L35" s="1690"/>
      <c r="M35" s="1690"/>
      <c r="N35" s="1690"/>
      <c r="O35" s="1690"/>
      <c r="P35" s="1690"/>
      <c r="Q35" s="1690"/>
      <c r="R35" s="1690"/>
      <c r="S35" s="1690"/>
      <c r="T35" s="1690"/>
      <c r="U35" s="1690"/>
      <c r="V35" s="1691"/>
      <c r="W35" s="1709"/>
      <c r="X35" s="1710"/>
      <c r="Y35" s="1817"/>
      <c r="Z35" s="1714"/>
      <c r="AA35" s="1702" t="s">
        <v>131</v>
      </c>
      <c r="AB35" s="1703"/>
      <c r="AC35" s="1704"/>
      <c r="AD35" s="1747"/>
      <c r="AE35" s="1747"/>
      <c r="AF35" s="1747"/>
      <c r="AG35" s="1747"/>
      <c r="AH35" s="1747"/>
      <c r="AI35" s="1679"/>
      <c r="AJ35" s="1679"/>
      <c r="AK35" s="1679"/>
      <c r="AL35" s="1679"/>
      <c r="AM35" s="1679"/>
      <c r="AN35" s="1679"/>
      <c r="AO35" s="1679"/>
      <c r="AP35" s="1679"/>
      <c r="AQ35" s="1679"/>
      <c r="AR35" s="1679"/>
      <c r="AS35" s="1679"/>
      <c r="AT35" s="1679"/>
      <c r="AU35" s="1679"/>
      <c r="AV35" s="1679"/>
      <c r="AW35" s="1680"/>
      <c r="AX35" s="1727"/>
      <c r="AY35" s="1679"/>
      <c r="AZ35" s="891" t="s">
        <v>1833</v>
      </c>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row>
    <row r="36" spans="1:84" ht="15.95" customHeight="1">
      <c r="A36" s="1742"/>
      <c r="B36" s="1701"/>
      <c r="C36" s="1743"/>
      <c r="D36" s="1744"/>
      <c r="E36" s="1744"/>
      <c r="F36" s="1744"/>
      <c r="G36" s="1744"/>
      <c r="H36" s="1690"/>
      <c r="I36" s="1690"/>
      <c r="J36" s="1690"/>
      <c r="K36" s="1690"/>
      <c r="L36" s="1690"/>
      <c r="M36" s="1690"/>
      <c r="N36" s="1690"/>
      <c r="O36" s="1690"/>
      <c r="P36" s="1690"/>
      <c r="Q36" s="1690"/>
      <c r="R36" s="1690"/>
      <c r="S36" s="1690"/>
      <c r="T36" s="1690"/>
      <c r="U36" s="1690"/>
      <c r="V36" s="1691"/>
      <c r="W36" s="1709"/>
      <c r="X36" s="1710"/>
      <c r="Y36" s="1817"/>
      <c r="Z36" s="1740"/>
      <c r="AA36" s="1705"/>
      <c r="AB36" s="1420"/>
      <c r="AC36" s="1706"/>
      <c r="AD36" s="1749"/>
      <c r="AE36" s="1749"/>
      <c r="AF36" s="1749"/>
      <c r="AG36" s="1749"/>
      <c r="AH36" s="1749"/>
      <c r="AI36" s="1679"/>
      <c r="AJ36" s="1679"/>
      <c r="AK36" s="1679"/>
      <c r="AL36" s="1679"/>
      <c r="AM36" s="1679"/>
      <c r="AN36" s="1679"/>
      <c r="AO36" s="1679"/>
      <c r="AP36" s="1679"/>
      <c r="AQ36" s="1679"/>
      <c r="AR36" s="1679"/>
      <c r="AS36" s="1679"/>
      <c r="AT36" s="1679"/>
      <c r="AU36" s="1679"/>
      <c r="AV36" s="1679"/>
      <c r="AW36" s="1680"/>
      <c r="AX36" s="1727"/>
      <c r="AY36" s="1679"/>
      <c r="AZ36" s="891" t="s">
        <v>1834</v>
      </c>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row>
    <row r="37" spans="1:84" ht="15.95" customHeight="1">
      <c r="A37" s="1716"/>
      <c r="B37" s="1692" t="s">
        <v>446</v>
      </c>
      <c r="C37" s="1719"/>
      <c r="D37" s="1720"/>
      <c r="E37" s="1720"/>
      <c r="F37" s="1720"/>
      <c r="G37" s="1720"/>
      <c r="H37" s="1690"/>
      <c r="I37" s="1690"/>
      <c r="J37" s="1690"/>
      <c r="K37" s="1690"/>
      <c r="L37" s="1690"/>
      <c r="M37" s="1690"/>
      <c r="N37" s="1690"/>
      <c r="O37" s="1690"/>
      <c r="P37" s="1690"/>
      <c r="Q37" s="1690"/>
      <c r="R37" s="1690"/>
      <c r="S37" s="1690"/>
      <c r="T37" s="1690"/>
      <c r="U37" s="1690"/>
      <c r="V37" s="1691"/>
      <c r="W37" s="1709"/>
      <c r="X37" s="1710"/>
      <c r="Y37" s="1817"/>
      <c r="Z37" s="1713" t="s">
        <v>153</v>
      </c>
      <c r="AA37" s="1728" t="s">
        <v>128</v>
      </c>
      <c r="AB37" s="1729"/>
      <c r="AC37" s="1730"/>
      <c r="AD37" s="1686"/>
      <c r="AE37" s="1687"/>
      <c r="AF37" s="1687"/>
      <c r="AG37" s="1687"/>
      <c r="AH37" s="1687"/>
      <c r="AI37" s="1679"/>
      <c r="AJ37" s="1679"/>
      <c r="AK37" s="1679"/>
      <c r="AL37" s="1679"/>
      <c r="AM37" s="1679"/>
      <c r="AN37" s="1679"/>
      <c r="AO37" s="1679"/>
      <c r="AP37" s="1679"/>
      <c r="AQ37" s="1679"/>
      <c r="AR37" s="1679"/>
      <c r="AS37" s="1679"/>
      <c r="AT37" s="1679"/>
      <c r="AU37" s="1679"/>
      <c r="AV37" s="1679"/>
      <c r="AW37" s="1680"/>
      <c r="AX37" s="1727"/>
      <c r="AY37" s="1679"/>
      <c r="AZ37" s="891" t="s">
        <v>1835</v>
      </c>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row>
    <row r="38" spans="1:84" ht="15.75" customHeight="1">
      <c r="A38" s="1717"/>
      <c r="B38" s="1693"/>
      <c r="C38" s="1721"/>
      <c r="D38" s="1722"/>
      <c r="E38" s="1722"/>
      <c r="F38" s="1722"/>
      <c r="G38" s="1722"/>
      <c r="H38" s="1690"/>
      <c r="I38" s="1690"/>
      <c r="J38" s="1690"/>
      <c r="K38" s="1690"/>
      <c r="L38" s="1690"/>
      <c r="M38" s="1690"/>
      <c r="N38" s="1690"/>
      <c r="O38" s="1690"/>
      <c r="P38" s="1690"/>
      <c r="Q38" s="1690"/>
      <c r="R38" s="1690"/>
      <c r="S38" s="1690"/>
      <c r="T38" s="1690"/>
      <c r="U38" s="1690"/>
      <c r="V38" s="1691"/>
      <c r="W38" s="1709"/>
      <c r="X38" s="1710"/>
      <c r="Y38" s="1817"/>
      <c r="Z38" s="1714"/>
      <c r="AA38" s="1731"/>
      <c r="AB38" s="1732"/>
      <c r="AC38" s="1733"/>
      <c r="AD38" s="1688"/>
      <c r="AE38" s="1688"/>
      <c r="AF38" s="1688"/>
      <c r="AG38" s="1688"/>
      <c r="AH38" s="1688"/>
      <c r="AI38" s="1679"/>
      <c r="AJ38" s="1679"/>
      <c r="AK38" s="1679"/>
      <c r="AL38" s="1679"/>
      <c r="AM38" s="1679"/>
      <c r="AN38" s="1679"/>
      <c r="AO38" s="1679"/>
      <c r="AP38" s="1679"/>
      <c r="AQ38" s="1679"/>
      <c r="AR38" s="1679"/>
      <c r="AS38" s="1679"/>
      <c r="AT38" s="1679"/>
      <c r="AU38" s="1679"/>
      <c r="AV38" s="1679"/>
      <c r="AW38" s="1680"/>
      <c r="AX38" s="1727"/>
      <c r="AY38" s="1679"/>
      <c r="AZ38" s="891" t="s">
        <v>402</v>
      </c>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row>
    <row r="39" spans="1:84" ht="15.95" customHeight="1">
      <c r="A39" s="1717"/>
      <c r="B39" s="1692" t="s">
        <v>448</v>
      </c>
      <c r="C39" s="1721"/>
      <c r="D39" s="1722"/>
      <c r="E39" s="1722"/>
      <c r="F39" s="1722"/>
      <c r="G39" s="1722"/>
      <c r="H39" s="1690"/>
      <c r="I39" s="1690"/>
      <c r="J39" s="1690"/>
      <c r="K39" s="1690"/>
      <c r="L39" s="1690"/>
      <c r="M39" s="1690"/>
      <c r="N39" s="1690"/>
      <c r="O39" s="1690"/>
      <c r="P39" s="1690"/>
      <c r="Q39" s="1690"/>
      <c r="R39" s="1690"/>
      <c r="S39" s="1690"/>
      <c r="T39" s="1690"/>
      <c r="U39" s="1690"/>
      <c r="V39" s="1691"/>
      <c r="W39" s="1709"/>
      <c r="X39" s="1710"/>
      <c r="Y39" s="1817"/>
      <c r="Z39" s="1714"/>
      <c r="AA39" s="1728" t="s">
        <v>129</v>
      </c>
      <c r="AB39" s="1729"/>
      <c r="AC39" s="1730"/>
      <c r="AD39" s="1688"/>
      <c r="AE39" s="1688"/>
      <c r="AF39" s="1688"/>
      <c r="AG39" s="1688"/>
      <c r="AH39" s="1688"/>
      <c r="AI39" s="1679"/>
      <c r="AJ39" s="1679"/>
      <c r="AK39" s="1679"/>
      <c r="AL39" s="1679"/>
      <c r="AM39" s="1679"/>
      <c r="AN39" s="1679"/>
      <c r="AO39" s="1679"/>
      <c r="AP39" s="1679"/>
      <c r="AQ39" s="1679"/>
      <c r="AR39" s="1679"/>
      <c r="AS39" s="1679"/>
      <c r="AT39" s="1679"/>
      <c r="AU39" s="1679"/>
      <c r="AV39" s="1679"/>
      <c r="AW39" s="1680"/>
      <c r="AX39" s="1727"/>
      <c r="AY39" s="1679"/>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row>
    <row r="40" spans="1:84" ht="15.95" customHeight="1">
      <c r="A40" s="1717"/>
      <c r="B40" s="1693"/>
      <c r="C40" s="1721"/>
      <c r="D40" s="1722"/>
      <c r="E40" s="1722"/>
      <c r="F40" s="1722"/>
      <c r="G40" s="1722"/>
      <c r="H40" s="1690"/>
      <c r="I40" s="1690"/>
      <c r="J40" s="1690"/>
      <c r="K40" s="1690"/>
      <c r="L40" s="1690"/>
      <c r="M40" s="1690"/>
      <c r="N40" s="1690"/>
      <c r="O40" s="1690"/>
      <c r="P40" s="1690"/>
      <c r="Q40" s="1690"/>
      <c r="R40" s="1690"/>
      <c r="S40" s="1690"/>
      <c r="T40" s="1690"/>
      <c r="U40" s="1690"/>
      <c r="V40" s="1691"/>
      <c r="W40" s="1709"/>
      <c r="X40" s="1710"/>
      <c r="Y40" s="1817"/>
      <c r="Z40" s="1714"/>
      <c r="AA40" s="1731"/>
      <c r="AB40" s="1732"/>
      <c r="AC40" s="1733"/>
      <c r="AD40" s="1688"/>
      <c r="AE40" s="1688"/>
      <c r="AF40" s="1688"/>
      <c r="AG40" s="1688"/>
      <c r="AH40" s="1688"/>
      <c r="AI40" s="1679"/>
      <c r="AJ40" s="1679"/>
      <c r="AK40" s="1679"/>
      <c r="AL40" s="1679"/>
      <c r="AM40" s="1679"/>
      <c r="AN40" s="1679"/>
      <c r="AO40" s="1679"/>
      <c r="AP40" s="1679"/>
      <c r="AQ40" s="1679"/>
      <c r="AR40" s="1679"/>
      <c r="AS40" s="1679"/>
      <c r="AT40" s="1679"/>
      <c r="AU40" s="1679"/>
      <c r="AV40" s="1679"/>
      <c r="AW40" s="1680"/>
      <c r="AX40" s="1727"/>
      <c r="AY40" s="1679"/>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row>
    <row r="41" spans="1:84" ht="15.95" customHeight="1">
      <c r="A41" s="1717"/>
      <c r="B41" s="1700" t="s">
        <v>130</v>
      </c>
      <c r="C41" s="1721"/>
      <c r="D41" s="1722"/>
      <c r="E41" s="1722"/>
      <c r="F41" s="1722"/>
      <c r="G41" s="1722"/>
      <c r="H41" s="1690"/>
      <c r="I41" s="1690"/>
      <c r="J41" s="1690"/>
      <c r="K41" s="1690"/>
      <c r="L41" s="1690"/>
      <c r="M41" s="1690"/>
      <c r="N41" s="1690"/>
      <c r="O41" s="1690"/>
      <c r="P41" s="1690"/>
      <c r="Q41" s="1690"/>
      <c r="R41" s="1690"/>
      <c r="S41" s="1690"/>
      <c r="T41" s="1690"/>
      <c r="U41" s="1690"/>
      <c r="V41" s="1691"/>
      <c r="W41" s="1709"/>
      <c r="X41" s="1710"/>
      <c r="Y41" s="1817"/>
      <c r="Z41" s="1714"/>
      <c r="AA41" s="1734" t="s">
        <v>150</v>
      </c>
      <c r="AB41" s="1735"/>
      <c r="AC41" s="1736"/>
      <c r="AD41" s="1688"/>
      <c r="AE41" s="1688"/>
      <c r="AF41" s="1688"/>
      <c r="AG41" s="1688"/>
      <c r="AH41" s="1688"/>
      <c r="AI41" s="1679"/>
      <c r="AJ41" s="1679"/>
      <c r="AK41" s="1679"/>
      <c r="AL41" s="1679"/>
      <c r="AM41" s="1679"/>
      <c r="AN41" s="1679"/>
      <c r="AO41" s="1679"/>
      <c r="AP41" s="1679"/>
      <c r="AQ41" s="1679"/>
      <c r="AR41" s="1679"/>
      <c r="AS41" s="1679"/>
      <c r="AT41" s="1679"/>
      <c r="AU41" s="1679"/>
      <c r="AV41" s="1679"/>
      <c r="AW41" s="1680"/>
      <c r="AX41" s="1727"/>
      <c r="AY41" s="1679"/>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row>
    <row r="42" spans="1:84" ht="15.95" customHeight="1">
      <c r="A42" s="1717"/>
      <c r="B42" s="1701"/>
      <c r="C42" s="1721"/>
      <c r="D42" s="1722"/>
      <c r="E42" s="1722"/>
      <c r="F42" s="1722"/>
      <c r="G42" s="1722"/>
      <c r="H42" s="1690"/>
      <c r="I42" s="1690"/>
      <c r="J42" s="1690"/>
      <c r="K42" s="1690"/>
      <c r="L42" s="1690"/>
      <c r="M42" s="1690"/>
      <c r="N42" s="1690"/>
      <c r="O42" s="1690"/>
      <c r="P42" s="1690"/>
      <c r="Q42" s="1690"/>
      <c r="R42" s="1690"/>
      <c r="S42" s="1690"/>
      <c r="T42" s="1690"/>
      <c r="U42" s="1690"/>
      <c r="V42" s="1691"/>
      <c r="W42" s="1709"/>
      <c r="X42" s="1710"/>
      <c r="Y42" s="1817"/>
      <c r="Z42" s="1714"/>
      <c r="AA42" s="1737"/>
      <c r="AB42" s="1738"/>
      <c r="AC42" s="1739"/>
      <c r="AD42" s="1688"/>
      <c r="AE42" s="1688"/>
      <c r="AF42" s="1688"/>
      <c r="AG42" s="1688"/>
      <c r="AH42" s="1688"/>
      <c r="AI42" s="1679"/>
      <c r="AJ42" s="1679"/>
      <c r="AK42" s="1679"/>
      <c r="AL42" s="1679"/>
      <c r="AM42" s="1679"/>
      <c r="AN42" s="1679"/>
      <c r="AO42" s="1679"/>
      <c r="AP42" s="1679"/>
      <c r="AQ42" s="1679"/>
      <c r="AR42" s="1679"/>
      <c r="AS42" s="1679"/>
      <c r="AT42" s="1679"/>
      <c r="AU42" s="1679"/>
      <c r="AV42" s="1679"/>
      <c r="AW42" s="1680"/>
      <c r="AX42" s="1727"/>
      <c r="AY42" s="1679"/>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row>
    <row r="43" spans="1:84" ht="15.95" customHeight="1">
      <c r="A43" s="1717"/>
      <c r="B43" s="1700" t="s">
        <v>450</v>
      </c>
      <c r="C43" s="1721"/>
      <c r="D43" s="1722"/>
      <c r="E43" s="1722"/>
      <c r="F43" s="1722"/>
      <c r="G43" s="1722"/>
      <c r="H43" s="1690"/>
      <c r="I43" s="1690"/>
      <c r="J43" s="1690"/>
      <c r="K43" s="1690"/>
      <c r="L43" s="1690"/>
      <c r="M43" s="1690"/>
      <c r="N43" s="1690"/>
      <c r="O43" s="1690"/>
      <c r="P43" s="1690"/>
      <c r="Q43" s="1690"/>
      <c r="R43" s="1690"/>
      <c r="S43" s="1690"/>
      <c r="T43" s="1690"/>
      <c r="U43" s="1690"/>
      <c r="V43" s="1691"/>
      <c r="W43" s="1709"/>
      <c r="X43" s="1710"/>
      <c r="Y43" s="1817"/>
      <c r="Z43" s="1714"/>
      <c r="AA43" s="1734" t="s">
        <v>131</v>
      </c>
      <c r="AB43" s="1735"/>
      <c r="AC43" s="1736"/>
      <c r="AD43" s="1688"/>
      <c r="AE43" s="1688"/>
      <c r="AF43" s="1688"/>
      <c r="AG43" s="1688"/>
      <c r="AH43" s="1688"/>
      <c r="AI43" s="1679"/>
      <c r="AJ43" s="1679"/>
      <c r="AK43" s="1679"/>
      <c r="AL43" s="1679"/>
      <c r="AM43" s="1679"/>
      <c r="AN43" s="1679"/>
      <c r="AO43" s="1679"/>
      <c r="AP43" s="1679"/>
      <c r="AQ43" s="1679"/>
      <c r="AR43" s="1679"/>
      <c r="AS43" s="1679"/>
      <c r="AT43" s="1679"/>
      <c r="AU43" s="1679"/>
      <c r="AV43" s="1679"/>
      <c r="AW43" s="1680"/>
      <c r="AX43" s="1727"/>
      <c r="AY43" s="1679"/>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row>
    <row r="44" spans="1:84" ht="15.95" customHeight="1">
      <c r="A44" s="1742"/>
      <c r="B44" s="1701"/>
      <c r="C44" s="1743"/>
      <c r="D44" s="1744"/>
      <c r="E44" s="1744"/>
      <c r="F44" s="1744"/>
      <c r="G44" s="1744"/>
      <c r="H44" s="1690"/>
      <c r="I44" s="1690"/>
      <c r="J44" s="1690"/>
      <c r="K44" s="1690"/>
      <c r="L44" s="1690"/>
      <c r="M44" s="1690"/>
      <c r="N44" s="1690"/>
      <c r="O44" s="1690"/>
      <c r="P44" s="1690"/>
      <c r="Q44" s="1690"/>
      <c r="R44" s="1690"/>
      <c r="S44" s="1690"/>
      <c r="T44" s="1690"/>
      <c r="U44" s="1690"/>
      <c r="V44" s="1691"/>
      <c r="W44" s="1709"/>
      <c r="X44" s="1710"/>
      <c r="Y44" s="1817"/>
      <c r="Z44" s="1740"/>
      <c r="AA44" s="1737"/>
      <c r="AB44" s="1738"/>
      <c r="AC44" s="1739"/>
      <c r="AD44" s="1741"/>
      <c r="AE44" s="1741"/>
      <c r="AF44" s="1741"/>
      <c r="AG44" s="1741"/>
      <c r="AH44" s="1741"/>
      <c r="AI44" s="1679"/>
      <c r="AJ44" s="1679"/>
      <c r="AK44" s="1679"/>
      <c r="AL44" s="1679"/>
      <c r="AM44" s="1679"/>
      <c r="AN44" s="1679"/>
      <c r="AO44" s="1679"/>
      <c r="AP44" s="1679"/>
      <c r="AQ44" s="1679"/>
      <c r="AR44" s="1679"/>
      <c r="AS44" s="1679"/>
      <c r="AT44" s="1679"/>
      <c r="AU44" s="1679"/>
      <c r="AV44" s="1679"/>
      <c r="AW44" s="1680"/>
      <c r="AX44" s="1727"/>
      <c r="AY44" s="1679"/>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row>
    <row r="45" spans="1:84" ht="15.95" customHeight="1">
      <c r="A45" s="1716"/>
      <c r="B45" s="1692" t="s">
        <v>446</v>
      </c>
      <c r="C45" s="1719"/>
      <c r="D45" s="1720"/>
      <c r="E45" s="1720"/>
      <c r="F45" s="1720"/>
      <c r="G45" s="1720"/>
      <c r="H45" s="1690"/>
      <c r="I45" s="1690"/>
      <c r="J45" s="1690"/>
      <c r="K45" s="1690"/>
      <c r="L45" s="1690"/>
      <c r="M45" s="1690"/>
      <c r="N45" s="1690"/>
      <c r="O45" s="1690"/>
      <c r="P45" s="1690"/>
      <c r="Q45" s="1690"/>
      <c r="R45" s="1690"/>
      <c r="S45" s="1690"/>
      <c r="T45" s="1690"/>
      <c r="U45" s="1690"/>
      <c r="V45" s="1691"/>
      <c r="W45" s="1709"/>
      <c r="X45" s="1710"/>
      <c r="Y45" s="1817"/>
      <c r="Z45" s="1713" t="s">
        <v>154</v>
      </c>
      <c r="AA45" s="1694" t="s">
        <v>128</v>
      </c>
      <c r="AB45" s="1695"/>
      <c r="AC45" s="1696"/>
      <c r="AD45" s="1686"/>
      <c r="AE45" s="1687"/>
      <c r="AF45" s="1687"/>
      <c r="AG45" s="1687"/>
      <c r="AH45" s="1687"/>
      <c r="AI45" s="1679"/>
      <c r="AJ45" s="1679"/>
      <c r="AK45" s="1679"/>
      <c r="AL45" s="1679"/>
      <c r="AM45" s="1679"/>
      <c r="AN45" s="1679"/>
      <c r="AO45" s="1679"/>
      <c r="AP45" s="1679"/>
      <c r="AQ45" s="1679"/>
      <c r="AR45" s="1679"/>
      <c r="AS45" s="1679"/>
      <c r="AT45" s="1679"/>
      <c r="AU45" s="1679"/>
      <c r="AV45" s="1679"/>
      <c r="AW45" s="1680"/>
      <c r="AX45" s="1683" t="s">
        <v>155</v>
      </c>
      <c r="AY45" s="1684"/>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row>
    <row r="46" spans="1:84" ht="15.95" customHeight="1">
      <c r="A46" s="1717"/>
      <c r="B46" s="1693"/>
      <c r="C46" s="1721"/>
      <c r="D46" s="1722"/>
      <c r="E46" s="1722"/>
      <c r="F46" s="1722"/>
      <c r="G46" s="1722"/>
      <c r="H46" s="1690"/>
      <c r="I46" s="1690"/>
      <c r="J46" s="1690"/>
      <c r="K46" s="1690"/>
      <c r="L46" s="1690"/>
      <c r="M46" s="1690"/>
      <c r="N46" s="1690"/>
      <c r="O46" s="1690"/>
      <c r="P46" s="1690"/>
      <c r="Q46" s="1690"/>
      <c r="R46" s="1690"/>
      <c r="S46" s="1690"/>
      <c r="T46" s="1690"/>
      <c r="U46" s="1690"/>
      <c r="V46" s="1691"/>
      <c r="W46" s="1709"/>
      <c r="X46" s="1710"/>
      <c r="Y46" s="1817"/>
      <c r="Z46" s="1714"/>
      <c r="AA46" s="1697"/>
      <c r="AB46" s="1698"/>
      <c r="AC46" s="1699"/>
      <c r="AD46" s="1688"/>
      <c r="AE46" s="1688"/>
      <c r="AF46" s="1688"/>
      <c r="AG46" s="1688"/>
      <c r="AH46" s="1688"/>
      <c r="AI46" s="1679"/>
      <c r="AJ46" s="1679"/>
      <c r="AK46" s="1679"/>
      <c r="AL46" s="1679"/>
      <c r="AM46" s="1679"/>
      <c r="AN46" s="1679"/>
      <c r="AO46" s="1679"/>
      <c r="AP46" s="1679"/>
      <c r="AQ46" s="1679"/>
      <c r="AR46" s="1679"/>
      <c r="AS46" s="1679"/>
      <c r="AT46" s="1679"/>
      <c r="AU46" s="1679"/>
      <c r="AV46" s="1679"/>
      <c r="AW46" s="1680"/>
      <c r="AX46" s="1685"/>
      <c r="AY46" s="1684"/>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row>
    <row r="47" spans="1:84" ht="15.95" customHeight="1">
      <c r="A47" s="1717"/>
      <c r="B47" s="1692" t="s">
        <v>448</v>
      </c>
      <c r="C47" s="1721"/>
      <c r="D47" s="1722"/>
      <c r="E47" s="1722"/>
      <c r="F47" s="1722"/>
      <c r="G47" s="1722"/>
      <c r="H47" s="1690"/>
      <c r="I47" s="1690"/>
      <c r="J47" s="1690"/>
      <c r="K47" s="1690"/>
      <c r="L47" s="1690"/>
      <c r="M47" s="1690"/>
      <c r="N47" s="1690"/>
      <c r="O47" s="1690"/>
      <c r="P47" s="1690"/>
      <c r="Q47" s="1690"/>
      <c r="R47" s="1690"/>
      <c r="S47" s="1690"/>
      <c r="T47" s="1690"/>
      <c r="U47" s="1690"/>
      <c r="V47" s="1691"/>
      <c r="W47" s="1709"/>
      <c r="X47" s="1710"/>
      <c r="Y47" s="1817"/>
      <c r="Z47" s="1714"/>
      <c r="AA47" s="1694" t="s">
        <v>129</v>
      </c>
      <c r="AB47" s="1695"/>
      <c r="AC47" s="1696"/>
      <c r="AD47" s="1688"/>
      <c r="AE47" s="1688"/>
      <c r="AF47" s="1688"/>
      <c r="AG47" s="1688"/>
      <c r="AH47" s="1688"/>
      <c r="AI47" s="1679"/>
      <c r="AJ47" s="1679"/>
      <c r="AK47" s="1679"/>
      <c r="AL47" s="1679"/>
      <c r="AM47" s="1679"/>
      <c r="AN47" s="1679"/>
      <c r="AO47" s="1679"/>
      <c r="AP47" s="1679"/>
      <c r="AQ47" s="1679"/>
      <c r="AR47" s="1679"/>
      <c r="AS47" s="1679"/>
      <c r="AT47" s="1679"/>
      <c r="AU47" s="1679"/>
      <c r="AV47" s="1679"/>
      <c r="AW47" s="1680"/>
      <c r="AX47" s="1685"/>
      <c r="AY47" s="1684"/>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row>
    <row r="48" spans="1:84" ht="15.95" customHeight="1">
      <c r="A48" s="1717"/>
      <c r="B48" s="1693"/>
      <c r="C48" s="1721"/>
      <c r="D48" s="1722"/>
      <c r="E48" s="1722"/>
      <c r="F48" s="1722"/>
      <c r="G48" s="1722"/>
      <c r="H48" s="1690"/>
      <c r="I48" s="1690"/>
      <c r="J48" s="1690"/>
      <c r="K48" s="1690"/>
      <c r="L48" s="1690"/>
      <c r="M48" s="1690"/>
      <c r="N48" s="1690"/>
      <c r="O48" s="1690"/>
      <c r="P48" s="1690"/>
      <c r="Q48" s="1690"/>
      <c r="R48" s="1690"/>
      <c r="S48" s="1690"/>
      <c r="T48" s="1690"/>
      <c r="U48" s="1690"/>
      <c r="V48" s="1691"/>
      <c r="W48" s="1709"/>
      <c r="X48" s="1710"/>
      <c r="Y48" s="1817"/>
      <c r="Z48" s="1714"/>
      <c r="AA48" s="1697"/>
      <c r="AB48" s="1698"/>
      <c r="AC48" s="1699"/>
      <c r="AD48" s="1688"/>
      <c r="AE48" s="1688"/>
      <c r="AF48" s="1688"/>
      <c r="AG48" s="1688"/>
      <c r="AH48" s="1688"/>
      <c r="AI48" s="1679"/>
      <c r="AJ48" s="1679"/>
      <c r="AK48" s="1679"/>
      <c r="AL48" s="1679"/>
      <c r="AM48" s="1679"/>
      <c r="AN48" s="1679"/>
      <c r="AO48" s="1679"/>
      <c r="AP48" s="1679"/>
      <c r="AQ48" s="1679"/>
      <c r="AR48" s="1679"/>
      <c r="AS48" s="1679"/>
      <c r="AT48" s="1679"/>
      <c r="AU48" s="1679"/>
      <c r="AV48" s="1679"/>
      <c r="AW48" s="1680"/>
      <c r="AX48" s="1685"/>
      <c r="AY48" s="1684"/>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row>
    <row r="49" spans="1:84" ht="15.95" customHeight="1">
      <c r="A49" s="1717"/>
      <c r="B49" s="1700" t="s">
        <v>130</v>
      </c>
      <c r="C49" s="1721"/>
      <c r="D49" s="1722"/>
      <c r="E49" s="1722"/>
      <c r="F49" s="1722"/>
      <c r="G49" s="1722"/>
      <c r="H49" s="1690"/>
      <c r="I49" s="1690"/>
      <c r="J49" s="1690"/>
      <c r="K49" s="1690"/>
      <c r="L49" s="1690"/>
      <c r="M49" s="1690"/>
      <c r="N49" s="1690"/>
      <c r="O49" s="1690"/>
      <c r="P49" s="1690"/>
      <c r="Q49" s="1690"/>
      <c r="R49" s="1690"/>
      <c r="S49" s="1690"/>
      <c r="T49" s="1690"/>
      <c r="U49" s="1690"/>
      <c r="V49" s="1691"/>
      <c r="W49" s="1709"/>
      <c r="X49" s="1710"/>
      <c r="Y49" s="1817"/>
      <c r="Z49" s="1714"/>
      <c r="AA49" s="1702" t="s">
        <v>150</v>
      </c>
      <c r="AB49" s="1703"/>
      <c r="AC49" s="1704"/>
      <c r="AD49" s="1688"/>
      <c r="AE49" s="1688"/>
      <c r="AF49" s="1688"/>
      <c r="AG49" s="1688"/>
      <c r="AH49" s="1688"/>
      <c r="AI49" s="1679"/>
      <c r="AJ49" s="1679"/>
      <c r="AK49" s="1679"/>
      <c r="AL49" s="1679"/>
      <c r="AM49" s="1679"/>
      <c r="AN49" s="1679"/>
      <c r="AO49" s="1679"/>
      <c r="AP49" s="1679"/>
      <c r="AQ49" s="1679"/>
      <c r="AR49" s="1679"/>
      <c r="AS49" s="1679"/>
      <c r="AT49" s="1679"/>
      <c r="AU49" s="1679"/>
      <c r="AV49" s="1679"/>
      <c r="AW49" s="1680"/>
      <c r="AX49" s="1685"/>
      <c r="AY49" s="1684"/>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row>
    <row r="50" spans="1:84" ht="15.95" customHeight="1">
      <c r="A50" s="1717"/>
      <c r="B50" s="1701"/>
      <c r="C50" s="1721"/>
      <c r="D50" s="1722"/>
      <c r="E50" s="1722"/>
      <c r="F50" s="1722"/>
      <c r="G50" s="1722"/>
      <c r="H50" s="1690"/>
      <c r="I50" s="1690"/>
      <c r="J50" s="1690"/>
      <c r="K50" s="1690"/>
      <c r="L50" s="1690"/>
      <c r="M50" s="1690"/>
      <c r="N50" s="1690"/>
      <c r="O50" s="1690"/>
      <c r="P50" s="1690"/>
      <c r="Q50" s="1690"/>
      <c r="R50" s="1690"/>
      <c r="S50" s="1690"/>
      <c r="T50" s="1690"/>
      <c r="U50" s="1690"/>
      <c r="V50" s="1691"/>
      <c r="W50" s="1709"/>
      <c r="X50" s="1710"/>
      <c r="Y50" s="1817"/>
      <c r="Z50" s="1714"/>
      <c r="AA50" s="1705"/>
      <c r="AB50" s="1420"/>
      <c r="AC50" s="1706"/>
      <c r="AD50" s="1688"/>
      <c r="AE50" s="1688"/>
      <c r="AF50" s="1688"/>
      <c r="AG50" s="1688"/>
      <c r="AH50" s="1688"/>
      <c r="AI50" s="1679"/>
      <c r="AJ50" s="1679"/>
      <c r="AK50" s="1679"/>
      <c r="AL50" s="1679"/>
      <c r="AM50" s="1679"/>
      <c r="AN50" s="1679"/>
      <c r="AO50" s="1679"/>
      <c r="AP50" s="1679"/>
      <c r="AQ50" s="1679"/>
      <c r="AR50" s="1679"/>
      <c r="AS50" s="1679"/>
      <c r="AT50" s="1679"/>
      <c r="AU50" s="1679"/>
      <c r="AV50" s="1679"/>
      <c r="AW50" s="1680"/>
      <c r="AX50" s="1685"/>
      <c r="AY50" s="1684"/>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row>
    <row r="51" spans="1:84" ht="15.95" customHeight="1">
      <c r="A51" s="1717"/>
      <c r="B51" s="1700" t="s">
        <v>450</v>
      </c>
      <c r="C51" s="1721"/>
      <c r="D51" s="1722"/>
      <c r="E51" s="1722"/>
      <c r="F51" s="1722"/>
      <c r="G51" s="1722"/>
      <c r="H51" s="1690"/>
      <c r="I51" s="1690"/>
      <c r="J51" s="1690"/>
      <c r="K51" s="1690"/>
      <c r="L51" s="1690"/>
      <c r="M51" s="1690"/>
      <c r="N51" s="1690"/>
      <c r="O51" s="1690"/>
      <c r="P51" s="1690"/>
      <c r="Q51" s="1690"/>
      <c r="R51" s="1690"/>
      <c r="S51" s="1690"/>
      <c r="T51" s="1690"/>
      <c r="U51" s="1690"/>
      <c r="V51" s="1691"/>
      <c r="W51" s="1709"/>
      <c r="X51" s="1710"/>
      <c r="Y51" s="1817"/>
      <c r="Z51" s="1714"/>
      <c r="AA51" s="1702" t="s">
        <v>131</v>
      </c>
      <c r="AB51" s="1703"/>
      <c r="AC51" s="1704"/>
      <c r="AD51" s="1688"/>
      <c r="AE51" s="1688"/>
      <c r="AF51" s="1688"/>
      <c r="AG51" s="1688"/>
      <c r="AH51" s="1688"/>
      <c r="AI51" s="1679"/>
      <c r="AJ51" s="1679"/>
      <c r="AK51" s="1679"/>
      <c r="AL51" s="1679"/>
      <c r="AM51" s="1679"/>
      <c r="AN51" s="1679"/>
      <c r="AO51" s="1679"/>
      <c r="AP51" s="1679"/>
      <c r="AQ51" s="1679"/>
      <c r="AR51" s="1679"/>
      <c r="AS51" s="1679"/>
      <c r="AT51" s="1679"/>
      <c r="AU51" s="1679"/>
      <c r="AV51" s="1679"/>
      <c r="AW51" s="1680"/>
      <c r="AX51" s="1685"/>
      <c r="AY51" s="1684"/>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row>
    <row r="52" spans="1:84" ht="15.95" customHeight="1" thickBot="1">
      <c r="A52" s="1718"/>
      <c r="B52" s="1707"/>
      <c r="C52" s="1723"/>
      <c r="D52" s="1724"/>
      <c r="E52" s="1724"/>
      <c r="F52" s="1724"/>
      <c r="G52" s="1724"/>
      <c r="H52" s="1725"/>
      <c r="I52" s="1725"/>
      <c r="J52" s="1725"/>
      <c r="K52" s="1725"/>
      <c r="L52" s="1725"/>
      <c r="M52" s="1725"/>
      <c r="N52" s="1725"/>
      <c r="O52" s="1725"/>
      <c r="P52" s="1725"/>
      <c r="Q52" s="1725"/>
      <c r="R52" s="1725"/>
      <c r="S52" s="1725"/>
      <c r="T52" s="1725"/>
      <c r="U52" s="1725"/>
      <c r="V52" s="1726"/>
      <c r="W52" s="1711"/>
      <c r="X52" s="1712"/>
      <c r="Y52" s="1817"/>
      <c r="Z52" s="1715"/>
      <c r="AA52" s="1653"/>
      <c r="AB52" s="1708"/>
      <c r="AC52" s="1654"/>
      <c r="AD52" s="1689"/>
      <c r="AE52" s="1689"/>
      <c r="AF52" s="1689"/>
      <c r="AG52" s="1689"/>
      <c r="AH52" s="1689"/>
      <c r="AI52" s="1681"/>
      <c r="AJ52" s="1681"/>
      <c r="AK52" s="1681"/>
      <c r="AL52" s="1681"/>
      <c r="AM52" s="1681"/>
      <c r="AN52" s="1681"/>
      <c r="AO52" s="1681"/>
      <c r="AP52" s="1681"/>
      <c r="AQ52" s="1681"/>
      <c r="AR52" s="1681"/>
      <c r="AS52" s="1681"/>
      <c r="AT52" s="1681"/>
      <c r="AU52" s="1681"/>
      <c r="AV52" s="1681"/>
      <c r="AW52" s="1682"/>
      <c r="AX52" s="1685"/>
      <c r="AY52" s="1684"/>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row>
    <row r="53" spans="1:84" ht="14.25" thickBot="1">
      <c r="A53" s="509"/>
      <c r="B53" s="799"/>
      <c r="C53" s="1563" t="s">
        <v>156</v>
      </c>
      <c r="D53" s="1563"/>
      <c r="E53" s="1563"/>
      <c r="F53" s="1563"/>
      <c r="G53" s="1563"/>
      <c r="H53" s="1563"/>
      <c r="I53" s="1563"/>
      <c r="J53" s="1563"/>
      <c r="K53" s="1563"/>
      <c r="L53" s="1563"/>
      <c r="M53" s="1563"/>
      <c r="N53" s="1563"/>
      <c r="O53" s="1563"/>
      <c r="P53" s="1563"/>
      <c r="Q53" s="1563"/>
      <c r="R53" s="1563"/>
      <c r="S53" s="1563"/>
      <c r="T53" s="1563"/>
      <c r="U53" s="1563"/>
      <c r="V53" s="1563"/>
      <c r="W53" s="1563"/>
      <c r="X53" s="1563"/>
      <c r="Y53" s="1817"/>
      <c r="Z53" s="469"/>
      <c r="AA53" s="469"/>
      <c r="AB53" s="469"/>
      <c r="AC53" s="469"/>
      <c r="AD53" s="1662" t="s">
        <v>156</v>
      </c>
      <c r="AE53" s="1662"/>
      <c r="AF53" s="1662"/>
      <c r="AG53" s="1662"/>
      <c r="AH53" s="1662"/>
      <c r="AI53" s="1662"/>
      <c r="AJ53" s="1662"/>
      <c r="AK53" s="1662"/>
      <c r="AL53" s="1662"/>
      <c r="AM53" s="1662"/>
      <c r="AN53" s="1662"/>
      <c r="AO53" s="1662"/>
      <c r="AP53" s="1662"/>
      <c r="AQ53" s="1662"/>
      <c r="AR53" s="1662"/>
      <c r="AS53" s="1662"/>
      <c r="AT53" s="1662"/>
      <c r="AU53" s="1662"/>
      <c r="AV53" s="1662"/>
      <c r="AW53" s="1662"/>
      <c r="AX53" s="1662"/>
      <c r="AY53" s="166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row>
    <row r="54" spans="1:84" ht="14.25" thickTop="1">
      <c r="A54" s="509"/>
      <c r="B54" s="509"/>
      <c r="C54" s="1663" t="s">
        <v>157</v>
      </c>
      <c r="D54" s="1664"/>
      <c r="E54" s="1664"/>
      <c r="F54" s="1664"/>
      <c r="G54" s="1664"/>
      <c r="H54" s="1667"/>
      <c r="I54" s="1668"/>
      <c r="J54" s="1668"/>
      <c r="K54" s="1668"/>
      <c r="L54" s="1669"/>
      <c r="M54" s="509"/>
      <c r="N54" s="509"/>
      <c r="O54" s="509"/>
      <c r="P54" s="509"/>
      <c r="Q54" s="1661" t="s">
        <v>158</v>
      </c>
      <c r="R54" s="1661"/>
      <c r="S54" s="1661"/>
      <c r="T54" s="1673"/>
      <c r="U54" s="1673"/>
      <c r="V54" s="1673"/>
      <c r="W54" s="1674" t="s">
        <v>159</v>
      </c>
      <c r="X54" s="1673"/>
      <c r="Y54" s="1817"/>
      <c r="Z54" s="469"/>
      <c r="AA54" s="469"/>
      <c r="AB54" s="469"/>
      <c r="AC54" s="469"/>
      <c r="AD54" s="1675" t="s">
        <v>157</v>
      </c>
      <c r="AE54" s="1676"/>
      <c r="AF54" s="1676"/>
      <c r="AG54" s="1676"/>
      <c r="AH54" s="1676"/>
      <c r="AI54" s="1655" t="s">
        <v>160</v>
      </c>
      <c r="AJ54" s="1656"/>
      <c r="AK54" s="1656"/>
      <c r="AL54" s="1656"/>
      <c r="AM54" s="1657"/>
      <c r="AN54" s="469"/>
      <c r="AO54" s="469"/>
      <c r="AP54" s="469"/>
      <c r="AQ54" s="469"/>
      <c r="AR54" s="1661" t="s">
        <v>158</v>
      </c>
      <c r="AS54" s="1661"/>
      <c r="AT54" s="1661"/>
      <c r="AU54" s="1425"/>
      <c r="AV54" s="1425"/>
      <c r="AW54" s="1425"/>
      <c r="AX54" s="1425" t="s">
        <v>159</v>
      </c>
      <c r="AY54" s="1425"/>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row>
    <row r="55" spans="1:84" ht="14.25" thickBot="1">
      <c r="A55" s="509"/>
      <c r="B55" s="509"/>
      <c r="C55" s="1665"/>
      <c r="D55" s="1666"/>
      <c r="E55" s="1666"/>
      <c r="F55" s="1666"/>
      <c r="G55" s="1666"/>
      <c r="H55" s="1670"/>
      <c r="I55" s="1671"/>
      <c r="J55" s="1671"/>
      <c r="K55" s="1671"/>
      <c r="L55" s="1672"/>
      <c r="M55" s="509"/>
      <c r="N55" s="509"/>
      <c r="O55" s="509"/>
      <c r="P55" s="509"/>
      <c r="Q55" s="1661"/>
      <c r="R55" s="1661"/>
      <c r="S55" s="1661"/>
      <c r="T55" s="1673"/>
      <c r="U55" s="1673"/>
      <c r="V55" s="1673"/>
      <c r="W55" s="1674"/>
      <c r="X55" s="1673"/>
      <c r="Y55" s="1817"/>
      <c r="Z55" s="469"/>
      <c r="AA55" s="469"/>
      <c r="AB55" s="469"/>
      <c r="AC55" s="469"/>
      <c r="AD55" s="1677"/>
      <c r="AE55" s="1678"/>
      <c r="AF55" s="1678"/>
      <c r="AG55" s="1678"/>
      <c r="AH55" s="1678"/>
      <c r="AI55" s="1658"/>
      <c r="AJ55" s="1659"/>
      <c r="AK55" s="1659"/>
      <c r="AL55" s="1659"/>
      <c r="AM55" s="1660"/>
      <c r="AN55" s="469"/>
      <c r="AO55" s="469"/>
      <c r="AP55" s="469"/>
      <c r="AQ55" s="469"/>
      <c r="AR55" s="1661"/>
      <c r="AS55" s="1661"/>
      <c r="AT55" s="1661"/>
      <c r="AU55" s="1425"/>
      <c r="AV55" s="1425"/>
      <c r="AW55" s="1425"/>
      <c r="AX55" s="1425"/>
      <c r="AY55" s="1425"/>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row>
    <row r="56" spans="1:84" ht="24" thickTop="1">
      <c r="A56" s="1320" t="s">
        <v>123</v>
      </c>
      <c r="B56" s="1320"/>
      <c r="C56" s="1320"/>
      <c r="D56" s="1320"/>
      <c r="E56" s="1320"/>
      <c r="F56" s="1320"/>
      <c r="G56" s="1320"/>
      <c r="H56" s="1320"/>
      <c r="I56" s="1320"/>
      <c r="J56" s="1320"/>
      <c r="K56" s="1320"/>
      <c r="L56" s="1320"/>
      <c r="M56" s="1320"/>
      <c r="N56" s="1320"/>
      <c r="O56" s="1320"/>
      <c r="P56" s="1320"/>
      <c r="Q56" s="1320"/>
      <c r="R56" s="1320"/>
      <c r="S56" s="1320"/>
      <c r="T56" s="1320"/>
      <c r="U56" s="1320"/>
      <c r="V56" s="1320"/>
      <c r="W56" s="1320"/>
      <c r="X56" s="1320"/>
      <c r="Y56" s="1817"/>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row>
    <row r="57" spans="1:84">
      <c r="A57" s="492"/>
      <c r="B57" s="492"/>
      <c r="C57" s="492"/>
      <c r="D57" s="492"/>
      <c r="E57" s="492"/>
      <c r="F57" s="492"/>
      <c r="G57" s="492"/>
      <c r="H57" s="492"/>
      <c r="I57" s="492"/>
      <c r="J57" s="492"/>
      <c r="K57" s="492"/>
      <c r="L57" s="492"/>
      <c r="M57" s="492"/>
      <c r="N57" s="492"/>
      <c r="O57" s="492"/>
      <c r="P57" s="492"/>
      <c r="Q57" s="492"/>
      <c r="R57" s="492"/>
      <c r="S57" s="492"/>
      <c r="T57" s="492"/>
      <c r="U57" s="452" t="s">
        <v>88</v>
      </c>
      <c r="V57" s="493">
        <v>2</v>
      </c>
      <c r="W57" s="865" t="s">
        <v>125</v>
      </c>
      <c r="X57" s="495"/>
      <c r="Y57" s="1817"/>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row>
    <row r="58" spans="1:84" ht="14.25" thickBot="1">
      <c r="A58" s="1870" t="s">
        <v>127</v>
      </c>
      <c r="B58" s="1821"/>
      <c r="C58" s="1872" t="s">
        <v>451</v>
      </c>
      <c r="D58" s="1872"/>
      <c r="E58" s="1872"/>
      <c r="F58" s="1872"/>
      <c r="G58" s="1872"/>
      <c r="H58" s="1872"/>
      <c r="I58" s="1872"/>
      <c r="J58" s="1872"/>
      <c r="K58" s="1872"/>
      <c r="L58" s="1872"/>
      <c r="M58" s="1872"/>
      <c r="N58" s="1872"/>
      <c r="O58" s="1855"/>
      <c r="P58" s="1855"/>
      <c r="Q58" s="1855"/>
      <c r="R58" s="1855"/>
      <c r="S58" s="1855"/>
      <c r="T58" s="1855"/>
      <c r="U58" s="452"/>
      <c r="V58" s="452"/>
      <c r="W58" s="452"/>
      <c r="X58" s="452"/>
      <c r="Y58" s="1817"/>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row>
    <row r="59" spans="1:84" ht="23.25" customHeight="1" thickBot="1">
      <c r="A59" s="1871"/>
      <c r="B59" s="1827"/>
      <c r="C59" s="1849" t="s">
        <v>128</v>
      </c>
      <c r="D59" s="1850"/>
      <c r="E59" s="1850"/>
      <c r="F59" s="1850" t="s">
        <v>129</v>
      </c>
      <c r="G59" s="1850"/>
      <c r="H59" s="1850"/>
      <c r="I59" s="1850" t="s">
        <v>130</v>
      </c>
      <c r="J59" s="1850"/>
      <c r="K59" s="1850"/>
      <c r="L59" s="1850" t="s">
        <v>131</v>
      </c>
      <c r="M59" s="1850"/>
      <c r="N59" s="1876"/>
      <c r="O59" s="1844" t="s">
        <v>132</v>
      </c>
      <c r="P59" s="1843"/>
      <c r="Q59" s="1842" t="s">
        <v>133</v>
      </c>
      <c r="R59" s="1843"/>
      <c r="S59" s="1842" t="s">
        <v>134</v>
      </c>
      <c r="T59" s="1843"/>
      <c r="U59" s="452"/>
      <c r="V59" s="1845" t="s">
        <v>135</v>
      </c>
      <c r="W59" s="1848"/>
      <c r="X59" s="1848"/>
      <c r="Y59" s="1817"/>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row>
    <row r="60" spans="1:84" ht="13.5" customHeight="1" thickBot="1">
      <c r="A60" s="1848" t="s">
        <v>136</v>
      </c>
      <c r="B60" s="1848"/>
      <c r="C60" s="1859" t="s">
        <v>137</v>
      </c>
      <c r="D60" s="1859"/>
      <c r="E60" s="1859"/>
      <c r="F60" s="1859"/>
      <c r="G60" s="1859"/>
      <c r="H60" s="1859"/>
      <c r="I60" s="1859"/>
      <c r="J60" s="1859"/>
      <c r="K60" s="1859"/>
      <c r="L60" s="1859" t="s">
        <v>138</v>
      </c>
      <c r="M60" s="1859"/>
      <c r="N60" s="1859"/>
      <c r="O60" s="1860" t="s">
        <v>2949</v>
      </c>
      <c r="P60" s="1861"/>
      <c r="Q60" s="1861"/>
      <c r="R60" s="1861"/>
      <c r="S60" s="1861"/>
      <c r="T60" s="1862"/>
      <c r="U60" s="496"/>
      <c r="V60" s="1846"/>
      <c r="W60" s="1848"/>
      <c r="X60" s="1848"/>
      <c r="Y60" s="1817"/>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row>
    <row r="61" spans="1:84" ht="14.25" customHeight="1" thickBot="1">
      <c r="A61" s="1828" t="s">
        <v>140</v>
      </c>
      <c r="B61" s="1828"/>
      <c r="C61" s="1830" t="s">
        <v>141</v>
      </c>
      <c r="D61" s="1831"/>
      <c r="E61" s="1831"/>
      <c r="F61" s="1831"/>
      <c r="G61" s="1831"/>
      <c r="H61" s="1831"/>
      <c r="I61" s="1831"/>
      <c r="J61" s="1831"/>
      <c r="K61" s="1831"/>
      <c r="L61" s="1831"/>
      <c r="M61" s="1831"/>
      <c r="N61" s="1832"/>
      <c r="O61" s="1863"/>
      <c r="P61" s="1863"/>
      <c r="Q61" s="1863"/>
      <c r="R61" s="1863"/>
      <c r="S61" s="1863"/>
      <c r="T61" s="1864"/>
      <c r="U61" s="497"/>
      <c r="V61" s="1846"/>
      <c r="W61" s="1848"/>
      <c r="X61" s="1848"/>
      <c r="Y61" s="1817"/>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row>
    <row r="62" spans="1:84" ht="14.25" customHeight="1">
      <c r="A62" s="1829"/>
      <c r="B62" s="1829"/>
      <c r="C62" s="1830"/>
      <c r="D62" s="1831"/>
      <c r="E62" s="1831"/>
      <c r="F62" s="1831"/>
      <c r="G62" s="1831"/>
      <c r="H62" s="1831"/>
      <c r="I62" s="1831"/>
      <c r="J62" s="1831"/>
      <c r="K62" s="1831"/>
      <c r="L62" s="1831"/>
      <c r="M62" s="1831"/>
      <c r="N62" s="1832"/>
      <c r="O62" s="1865"/>
      <c r="P62" s="1865"/>
      <c r="Q62" s="1865"/>
      <c r="R62" s="1865"/>
      <c r="S62" s="1865"/>
      <c r="T62" s="1866"/>
      <c r="U62" s="496"/>
      <c r="V62" s="1846"/>
      <c r="W62" s="1848"/>
      <c r="X62" s="1848"/>
      <c r="Y62" s="1817"/>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row>
    <row r="63" spans="1:84" ht="14.25" customHeight="1">
      <c r="A63" s="1828"/>
      <c r="B63" s="1828"/>
      <c r="C63" s="1833"/>
      <c r="D63" s="1834"/>
      <c r="E63" s="1834"/>
      <c r="F63" s="1834"/>
      <c r="G63" s="1834"/>
      <c r="H63" s="1834"/>
      <c r="I63" s="1834"/>
      <c r="J63" s="1834"/>
      <c r="K63" s="1834"/>
      <c r="L63" s="1834"/>
      <c r="M63" s="1834"/>
      <c r="N63" s="1835"/>
      <c r="O63" s="1863"/>
      <c r="P63" s="1863"/>
      <c r="Q63" s="1863"/>
      <c r="R63" s="1863"/>
      <c r="S63" s="1863"/>
      <c r="T63" s="1864"/>
      <c r="U63" s="496"/>
      <c r="V63" s="1846"/>
      <c r="W63" s="1848"/>
      <c r="X63" s="1848"/>
      <c r="Y63" s="1817"/>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row>
    <row r="64" spans="1:84" ht="14.25" customHeight="1" thickBot="1">
      <c r="A64" s="1828"/>
      <c r="B64" s="1828"/>
      <c r="C64" s="1836"/>
      <c r="D64" s="1837"/>
      <c r="E64" s="1837"/>
      <c r="F64" s="1837"/>
      <c r="G64" s="1837"/>
      <c r="H64" s="1837"/>
      <c r="I64" s="1837"/>
      <c r="J64" s="1837"/>
      <c r="K64" s="1837"/>
      <c r="L64" s="1837"/>
      <c r="M64" s="1837"/>
      <c r="N64" s="1838"/>
      <c r="O64" s="1867"/>
      <c r="P64" s="1867"/>
      <c r="Q64" s="1867"/>
      <c r="R64" s="1867"/>
      <c r="S64" s="1867"/>
      <c r="T64" s="1868"/>
      <c r="U64" s="496"/>
      <c r="V64" s="1847"/>
      <c r="W64" s="1848"/>
      <c r="X64" s="1848"/>
      <c r="Y64" s="1817"/>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row>
    <row r="65" spans="1:60" ht="13.5" customHeight="1">
      <c r="A65" s="1822" t="s">
        <v>142</v>
      </c>
      <c r="B65" s="1822"/>
      <c r="C65" s="1822"/>
      <c r="D65" s="1822"/>
      <c r="E65" s="1822"/>
      <c r="F65" s="1822"/>
      <c r="G65" s="1822"/>
      <c r="H65" s="1822"/>
      <c r="I65" s="1822"/>
      <c r="J65" s="1822"/>
      <c r="K65" s="1822"/>
      <c r="L65" s="1822"/>
      <c r="M65" s="1822"/>
      <c r="N65" s="1822"/>
      <c r="O65" s="1822"/>
      <c r="P65" s="1822"/>
      <c r="Q65" s="1822"/>
      <c r="R65" s="1822"/>
      <c r="S65" s="1822"/>
      <c r="T65" s="1822"/>
      <c r="U65" s="452"/>
      <c r="V65" s="452"/>
      <c r="W65" s="452"/>
      <c r="X65" s="452"/>
      <c r="Y65" s="1817"/>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row>
    <row r="66" spans="1:60" ht="27" customHeight="1">
      <c r="A66" s="1189" t="s">
        <v>87</v>
      </c>
      <c r="B66" s="1189"/>
      <c r="C66" s="1824">
        <f>'01 使用承認申請書'!D59</f>
        <v>0</v>
      </c>
      <c r="D66" s="1824"/>
      <c r="E66" s="1824"/>
      <c r="F66" s="1824"/>
      <c r="G66" s="1824"/>
      <c r="H66" s="1824"/>
      <c r="I66" s="1824"/>
      <c r="J66" s="1824"/>
      <c r="K66" s="1824"/>
      <c r="L66" s="1824"/>
      <c r="M66" s="1824"/>
      <c r="N66" s="1824"/>
      <c r="O66" s="1824"/>
      <c r="P66" s="1824"/>
      <c r="Q66" s="1824"/>
      <c r="R66" s="1824"/>
      <c r="S66" s="498"/>
      <c r="T66" s="499"/>
      <c r="U66" s="499"/>
      <c r="V66" s="499"/>
      <c r="W66" s="452"/>
      <c r="X66" s="500"/>
      <c r="Y66" s="1817"/>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row>
    <row r="67" spans="1:60" ht="14.25" customHeight="1">
      <c r="A67" s="1826" t="s">
        <v>86</v>
      </c>
      <c r="B67" s="1826"/>
      <c r="C67" s="1818" t="str">
        <f>CONCATENATE('01 使用承認申請書'!B67)</f>
        <v/>
      </c>
      <c r="D67" s="1827" t="s">
        <v>18</v>
      </c>
      <c r="E67" s="1818" t="str">
        <f>CONCATENATE('01 使用承認申請書'!C69)</f>
        <v/>
      </c>
      <c r="F67" s="1821" t="s">
        <v>17</v>
      </c>
      <c r="G67" s="1818" t="str">
        <f>CONCATENATE('01 使用承認申請書'!F69)</f>
        <v/>
      </c>
      <c r="H67" s="1821" t="s">
        <v>16</v>
      </c>
      <c r="I67" s="1821" t="s">
        <v>43</v>
      </c>
      <c r="J67" s="1818" t="str">
        <f>CONCATENATE('01 使用承認申請書'!J69)</f>
        <v/>
      </c>
      <c r="K67" s="1821" t="s">
        <v>42</v>
      </c>
      <c r="L67" s="1821" t="s">
        <v>40</v>
      </c>
      <c r="M67" s="1818" t="str">
        <f>CONCATENATE('01 使用承認申請書'!C71)</f>
        <v/>
      </c>
      <c r="N67" s="1821" t="s">
        <v>17</v>
      </c>
      <c r="O67" s="1818" t="str">
        <f>CONCATENATE('01 使用承認申請書'!F71)</f>
        <v/>
      </c>
      <c r="P67" s="1821" t="s">
        <v>16</v>
      </c>
      <c r="Q67" s="1821" t="s">
        <v>43</v>
      </c>
      <c r="R67" s="1818" t="str">
        <f>CONCATENATE('01 使用承認申請書'!J71)</f>
        <v/>
      </c>
      <c r="S67" s="1827" t="s">
        <v>42</v>
      </c>
      <c r="T67" s="867"/>
      <c r="U67" s="502" t="str">
        <f>CONCATENATE('01 使用承認申請書'!L68)</f>
        <v/>
      </c>
      <c r="V67" s="452" t="s">
        <v>51</v>
      </c>
      <c r="W67" s="502" t="str">
        <f>CONCATENATE('01 使用承認申請書'!Q68)</f>
        <v/>
      </c>
      <c r="X67" s="452" t="s">
        <v>16</v>
      </c>
      <c r="Y67" s="1817"/>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row>
    <row r="68" spans="1:60" ht="13.5" customHeight="1">
      <c r="A68" s="1189"/>
      <c r="B68" s="1189"/>
      <c r="C68" s="1819"/>
      <c r="D68" s="1820"/>
      <c r="E68" s="1819"/>
      <c r="F68" s="1820"/>
      <c r="G68" s="1819"/>
      <c r="H68" s="1820"/>
      <c r="I68" s="1820"/>
      <c r="J68" s="1819"/>
      <c r="K68" s="1820"/>
      <c r="L68" s="1820"/>
      <c r="M68" s="1819"/>
      <c r="N68" s="1820"/>
      <c r="O68" s="1819"/>
      <c r="P68" s="1820"/>
      <c r="Q68" s="1820"/>
      <c r="R68" s="1819"/>
      <c r="S68" s="1820"/>
      <c r="T68" s="865"/>
      <c r="U68" s="1820" t="s">
        <v>52</v>
      </c>
      <c r="V68" s="1820"/>
      <c r="W68" s="866" t="str">
        <f>CONCATENATE('01 使用承認申請書'!V68)</f>
        <v/>
      </c>
      <c r="X68" s="504" t="s">
        <v>16</v>
      </c>
      <c r="Y68" s="1817"/>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row>
    <row r="69" spans="1:60" ht="16.5" customHeight="1">
      <c r="A69" s="871"/>
      <c r="B69" s="871"/>
      <c r="C69" s="869"/>
      <c r="D69" s="869"/>
      <c r="E69" s="869"/>
      <c r="F69" s="869"/>
      <c r="G69" s="869"/>
      <c r="H69" s="869"/>
      <c r="I69" s="869"/>
      <c r="J69" s="869"/>
      <c r="K69" s="869"/>
      <c r="L69" s="869"/>
      <c r="M69" s="869"/>
      <c r="N69" s="869"/>
      <c r="O69" s="869"/>
      <c r="P69" s="869"/>
      <c r="Q69" s="869"/>
      <c r="R69" s="869"/>
      <c r="S69" s="507"/>
      <c r="T69" s="869"/>
      <c r="U69" s="508"/>
      <c r="V69" s="508"/>
      <c r="W69" s="508"/>
      <c r="X69" s="508"/>
      <c r="Y69" s="1817"/>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row>
    <row r="70" spans="1:60" ht="13.5" customHeight="1" thickBot="1">
      <c r="A70" s="1839" t="s">
        <v>2927</v>
      </c>
      <c r="B70" s="1839"/>
      <c r="C70" s="1839"/>
      <c r="D70" s="1839"/>
      <c r="E70" s="1839"/>
      <c r="F70" s="1839"/>
      <c r="G70" s="1839"/>
      <c r="H70" s="1839"/>
      <c r="I70" s="1839"/>
      <c r="J70" s="1839"/>
      <c r="K70" s="1839"/>
      <c r="L70" s="1839"/>
      <c r="M70" s="1839"/>
      <c r="N70" s="1839"/>
      <c r="O70" s="1839"/>
      <c r="P70" s="1839"/>
      <c r="Q70" s="1839"/>
      <c r="R70" s="1839"/>
      <c r="S70" s="1839"/>
      <c r="T70" s="1839"/>
      <c r="U70" s="1839"/>
      <c r="V70" s="1839"/>
      <c r="W70" s="1839"/>
      <c r="X70" s="1839"/>
      <c r="Y70" s="1817"/>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row>
    <row r="71" spans="1:60" ht="24.95" customHeight="1" thickBot="1">
      <c r="A71" s="1799" t="s">
        <v>144</v>
      </c>
      <c r="B71" s="1776" t="s">
        <v>2963</v>
      </c>
      <c r="C71" s="1783" t="s">
        <v>2962</v>
      </c>
      <c r="D71" s="1781"/>
      <c r="E71" s="1781"/>
      <c r="F71" s="1781"/>
      <c r="G71" s="1782"/>
      <c r="H71" s="1780" t="s">
        <v>2961</v>
      </c>
      <c r="I71" s="1781"/>
      <c r="J71" s="1781"/>
      <c r="K71" s="1781"/>
      <c r="L71" s="1782"/>
      <c r="M71" s="1780" t="s">
        <v>2960</v>
      </c>
      <c r="N71" s="1781"/>
      <c r="O71" s="1781"/>
      <c r="P71" s="1781"/>
      <c r="Q71" s="1782"/>
      <c r="R71" s="1781" t="s">
        <v>2962</v>
      </c>
      <c r="S71" s="1781"/>
      <c r="T71" s="1781"/>
      <c r="U71" s="1781"/>
      <c r="V71" s="1784"/>
      <c r="W71" s="1787" t="s">
        <v>112</v>
      </c>
      <c r="X71" s="1788"/>
      <c r="Y71" s="1817"/>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row>
    <row r="72" spans="1:60" ht="34.5" customHeight="1">
      <c r="A72" s="1800"/>
      <c r="B72" s="1779"/>
      <c r="C72" s="1877"/>
      <c r="D72" s="1878"/>
      <c r="E72" s="865" t="s">
        <v>145</v>
      </c>
      <c r="F72" s="872"/>
      <c r="G72" s="864" t="s">
        <v>2959</v>
      </c>
      <c r="H72" s="1879"/>
      <c r="I72" s="1878"/>
      <c r="J72" s="865" t="s">
        <v>145</v>
      </c>
      <c r="K72" s="872"/>
      <c r="L72" s="864" t="s">
        <v>2959</v>
      </c>
      <c r="M72" s="1879"/>
      <c r="N72" s="1878"/>
      <c r="O72" s="865" t="s">
        <v>145</v>
      </c>
      <c r="P72" s="872"/>
      <c r="Q72" s="864" t="s">
        <v>2959</v>
      </c>
      <c r="R72" s="1879"/>
      <c r="S72" s="1878"/>
      <c r="T72" s="865" t="s">
        <v>145</v>
      </c>
      <c r="U72" s="872"/>
      <c r="V72" s="798" t="s">
        <v>2959</v>
      </c>
      <c r="W72" s="1789"/>
      <c r="X72" s="1790"/>
      <c r="Y72" s="1817"/>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row>
    <row r="73" spans="1:60" ht="34.5" customHeight="1">
      <c r="A73" s="1800"/>
      <c r="B73" s="1779"/>
      <c r="C73" s="1767"/>
      <c r="D73" s="1767"/>
      <c r="E73" s="1767"/>
      <c r="F73" s="1767"/>
      <c r="G73" s="1768"/>
      <c r="H73" s="1769"/>
      <c r="I73" s="1767"/>
      <c r="J73" s="1767"/>
      <c r="K73" s="1767"/>
      <c r="L73" s="1768"/>
      <c r="M73" s="1767"/>
      <c r="N73" s="1767"/>
      <c r="O73" s="1767"/>
      <c r="P73" s="1767"/>
      <c r="Q73" s="1768"/>
      <c r="R73" s="1769"/>
      <c r="S73" s="1767"/>
      <c r="T73" s="1767"/>
      <c r="U73" s="1767"/>
      <c r="V73" s="1770"/>
      <c r="W73" s="1789"/>
      <c r="X73" s="1790"/>
      <c r="Y73" s="1817"/>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row>
    <row r="74" spans="1:60" ht="34.5" customHeight="1" thickBot="1">
      <c r="A74" s="1800"/>
      <c r="B74" s="1779"/>
      <c r="C74" s="1812" t="str">
        <f>IFERROR(_xlfn.IFS($BB$19="土通常食",$BD$10,$BB$19="日通常食",$BD$9),"")</f>
        <v/>
      </c>
      <c r="D74" s="1812"/>
      <c r="E74" s="1812"/>
      <c r="F74" s="1812"/>
      <c r="G74" s="1813"/>
      <c r="H74" s="1814" t="str">
        <f>IFERROR(_xlfn.IFS($BB$20="土通常食",$BD$10,$BB$20="日通常食",$BD$9),"")</f>
        <v/>
      </c>
      <c r="I74" s="1812"/>
      <c r="J74" s="1812"/>
      <c r="K74" s="1812"/>
      <c r="L74" s="1813"/>
      <c r="M74" s="1814" t="str">
        <f>IFERROR(_xlfn.IFS($BB$21="土通常食",$BD$10,$BB$21="日通常食",$BD$9),"")</f>
        <v/>
      </c>
      <c r="N74" s="1812"/>
      <c r="O74" s="1812"/>
      <c r="P74" s="1812"/>
      <c r="Q74" s="1813"/>
      <c r="R74" s="1815" t="str">
        <f>IFERROR(_xlfn.IFS($BB$22="土通常食",$BD$10,$BB$22="日通常食",$BD$9),"")</f>
        <v/>
      </c>
      <c r="S74" s="1815"/>
      <c r="T74" s="1815"/>
      <c r="U74" s="1815"/>
      <c r="V74" s="1816"/>
      <c r="W74" s="1789"/>
      <c r="X74" s="1790"/>
      <c r="Y74" s="1817"/>
    </row>
    <row r="75" spans="1:60" ht="15" thickTop="1" thickBot="1">
      <c r="A75" s="1801"/>
      <c r="B75" s="1802"/>
      <c r="C75" s="1810" t="s">
        <v>148</v>
      </c>
      <c r="D75" s="1810"/>
      <c r="E75" s="1810"/>
      <c r="F75" s="1810"/>
      <c r="G75" s="1810"/>
      <c r="H75" s="1810"/>
      <c r="I75" s="1810"/>
      <c r="J75" s="1810"/>
      <c r="K75" s="1810"/>
      <c r="L75" s="1810"/>
      <c r="M75" s="1810"/>
      <c r="N75" s="1810"/>
      <c r="O75" s="1810"/>
      <c r="P75" s="1810"/>
      <c r="Q75" s="1810"/>
      <c r="R75" s="1810"/>
      <c r="S75" s="1810"/>
      <c r="T75" s="1810"/>
      <c r="U75" s="1810"/>
      <c r="V75" s="1811"/>
      <c r="W75" s="1791"/>
      <c r="X75" s="1792"/>
      <c r="Y75" s="1817"/>
    </row>
    <row r="76" spans="1:60">
      <c r="A76" s="1761"/>
      <c r="B76" s="1762" t="s">
        <v>446</v>
      </c>
      <c r="C76" s="1763"/>
      <c r="D76" s="1764"/>
      <c r="E76" s="1764"/>
      <c r="F76" s="1764"/>
      <c r="G76" s="1764"/>
      <c r="H76" s="1765"/>
      <c r="I76" s="1765"/>
      <c r="J76" s="1765"/>
      <c r="K76" s="1765"/>
      <c r="L76" s="1765"/>
      <c r="M76" s="1765"/>
      <c r="N76" s="1765"/>
      <c r="O76" s="1765"/>
      <c r="P76" s="1765"/>
      <c r="Q76" s="1765"/>
      <c r="R76" s="1765"/>
      <c r="S76" s="1765"/>
      <c r="T76" s="1765"/>
      <c r="U76" s="1765"/>
      <c r="V76" s="1766"/>
      <c r="W76" s="1754"/>
      <c r="X76" s="1755"/>
      <c r="Y76" s="1817"/>
    </row>
    <row r="77" spans="1:60">
      <c r="A77" s="1717"/>
      <c r="B77" s="1693"/>
      <c r="C77" s="1721"/>
      <c r="D77" s="1722"/>
      <c r="E77" s="1722"/>
      <c r="F77" s="1722"/>
      <c r="G77" s="1722"/>
      <c r="H77" s="1690"/>
      <c r="I77" s="1690"/>
      <c r="J77" s="1690"/>
      <c r="K77" s="1690"/>
      <c r="L77" s="1690"/>
      <c r="M77" s="1690"/>
      <c r="N77" s="1690"/>
      <c r="O77" s="1690"/>
      <c r="P77" s="1690"/>
      <c r="Q77" s="1690"/>
      <c r="R77" s="1690"/>
      <c r="S77" s="1690"/>
      <c r="T77" s="1690"/>
      <c r="U77" s="1690"/>
      <c r="V77" s="1691"/>
      <c r="W77" s="1709"/>
      <c r="X77" s="1710"/>
      <c r="Y77" s="1817"/>
    </row>
    <row r="78" spans="1:60">
      <c r="A78" s="1717"/>
      <c r="B78" s="1692" t="s">
        <v>448</v>
      </c>
      <c r="C78" s="1721"/>
      <c r="D78" s="1722"/>
      <c r="E78" s="1722"/>
      <c r="F78" s="1722"/>
      <c r="G78" s="1722"/>
      <c r="H78" s="1690"/>
      <c r="I78" s="1690"/>
      <c r="J78" s="1690"/>
      <c r="K78" s="1690"/>
      <c r="L78" s="1690"/>
      <c r="M78" s="1690"/>
      <c r="N78" s="1690"/>
      <c r="O78" s="1690"/>
      <c r="P78" s="1690"/>
      <c r="Q78" s="1690"/>
      <c r="R78" s="1690"/>
      <c r="S78" s="1690"/>
      <c r="T78" s="1690"/>
      <c r="U78" s="1690"/>
      <c r="V78" s="1691"/>
      <c r="W78" s="1709"/>
      <c r="X78" s="1710"/>
      <c r="Y78" s="1817"/>
    </row>
    <row r="79" spans="1:60">
      <c r="A79" s="1717"/>
      <c r="B79" s="1693"/>
      <c r="C79" s="1721"/>
      <c r="D79" s="1722"/>
      <c r="E79" s="1722"/>
      <c r="F79" s="1722"/>
      <c r="G79" s="1722"/>
      <c r="H79" s="1690"/>
      <c r="I79" s="1690"/>
      <c r="J79" s="1690"/>
      <c r="K79" s="1690"/>
      <c r="L79" s="1690"/>
      <c r="M79" s="1690"/>
      <c r="N79" s="1690"/>
      <c r="O79" s="1690"/>
      <c r="P79" s="1690"/>
      <c r="Q79" s="1690"/>
      <c r="R79" s="1690"/>
      <c r="S79" s="1690"/>
      <c r="T79" s="1690"/>
      <c r="U79" s="1690"/>
      <c r="V79" s="1691"/>
      <c r="W79" s="1709"/>
      <c r="X79" s="1710"/>
      <c r="Y79" s="1817"/>
    </row>
    <row r="80" spans="1:60">
      <c r="A80" s="1717"/>
      <c r="B80" s="1700" t="s">
        <v>130</v>
      </c>
      <c r="C80" s="1721"/>
      <c r="D80" s="1722"/>
      <c r="E80" s="1722"/>
      <c r="F80" s="1722"/>
      <c r="G80" s="1722"/>
      <c r="H80" s="1690"/>
      <c r="I80" s="1690"/>
      <c r="J80" s="1690"/>
      <c r="K80" s="1690"/>
      <c r="L80" s="1690"/>
      <c r="M80" s="1690"/>
      <c r="N80" s="1690"/>
      <c r="O80" s="1690"/>
      <c r="P80" s="1690"/>
      <c r="Q80" s="1690"/>
      <c r="R80" s="1690"/>
      <c r="S80" s="1690"/>
      <c r="T80" s="1690"/>
      <c r="U80" s="1690"/>
      <c r="V80" s="1691"/>
      <c r="W80" s="1709"/>
      <c r="X80" s="1710"/>
      <c r="Y80" s="1817"/>
    </row>
    <row r="81" spans="1:25">
      <c r="A81" s="1717"/>
      <c r="B81" s="1701"/>
      <c r="C81" s="1721"/>
      <c r="D81" s="1722"/>
      <c r="E81" s="1722"/>
      <c r="F81" s="1722"/>
      <c r="G81" s="1722"/>
      <c r="H81" s="1690"/>
      <c r="I81" s="1690"/>
      <c r="J81" s="1690"/>
      <c r="K81" s="1690"/>
      <c r="L81" s="1690"/>
      <c r="M81" s="1690"/>
      <c r="N81" s="1690"/>
      <c r="O81" s="1690"/>
      <c r="P81" s="1690"/>
      <c r="Q81" s="1690"/>
      <c r="R81" s="1690"/>
      <c r="S81" s="1690"/>
      <c r="T81" s="1690"/>
      <c r="U81" s="1690"/>
      <c r="V81" s="1691"/>
      <c r="W81" s="1709"/>
      <c r="X81" s="1710"/>
      <c r="Y81" s="1817"/>
    </row>
    <row r="82" spans="1:25">
      <c r="A82" s="1717"/>
      <c r="B82" s="1700" t="s">
        <v>450</v>
      </c>
      <c r="C82" s="1721"/>
      <c r="D82" s="1722"/>
      <c r="E82" s="1722"/>
      <c r="F82" s="1722"/>
      <c r="G82" s="1722"/>
      <c r="H82" s="1690"/>
      <c r="I82" s="1690"/>
      <c r="J82" s="1690"/>
      <c r="K82" s="1690"/>
      <c r="L82" s="1690"/>
      <c r="M82" s="1690"/>
      <c r="N82" s="1690"/>
      <c r="O82" s="1690"/>
      <c r="P82" s="1690"/>
      <c r="Q82" s="1690"/>
      <c r="R82" s="1690"/>
      <c r="S82" s="1690"/>
      <c r="T82" s="1690"/>
      <c r="U82" s="1690"/>
      <c r="V82" s="1691"/>
      <c r="W82" s="1709"/>
      <c r="X82" s="1710"/>
      <c r="Y82" s="1817"/>
    </row>
    <row r="83" spans="1:25">
      <c r="A83" s="1742"/>
      <c r="B83" s="1701"/>
      <c r="C83" s="1743"/>
      <c r="D83" s="1744"/>
      <c r="E83" s="1744"/>
      <c r="F83" s="1744"/>
      <c r="G83" s="1744"/>
      <c r="H83" s="1690"/>
      <c r="I83" s="1690"/>
      <c r="J83" s="1690"/>
      <c r="K83" s="1690"/>
      <c r="L83" s="1690"/>
      <c r="M83" s="1690"/>
      <c r="N83" s="1690"/>
      <c r="O83" s="1690"/>
      <c r="P83" s="1690"/>
      <c r="Q83" s="1690"/>
      <c r="R83" s="1690"/>
      <c r="S83" s="1690"/>
      <c r="T83" s="1690"/>
      <c r="U83" s="1690"/>
      <c r="V83" s="1691"/>
      <c r="W83" s="1709"/>
      <c r="X83" s="1710"/>
      <c r="Y83" s="1817"/>
    </row>
    <row r="84" spans="1:25">
      <c r="A84" s="1716"/>
      <c r="B84" s="1692" t="s">
        <v>446</v>
      </c>
      <c r="C84" s="1719"/>
      <c r="D84" s="1720"/>
      <c r="E84" s="1720"/>
      <c r="F84" s="1720"/>
      <c r="G84" s="1720"/>
      <c r="H84" s="1690"/>
      <c r="I84" s="1690"/>
      <c r="J84" s="1690"/>
      <c r="K84" s="1690"/>
      <c r="L84" s="1690"/>
      <c r="M84" s="1690"/>
      <c r="N84" s="1690"/>
      <c r="O84" s="1690"/>
      <c r="P84" s="1690"/>
      <c r="Q84" s="1690"/>
      <c r="R84" s="1690"/>
      <c r="S84" s="1690"/>
      <c r="T84" s="1690"/>
      <c r="U84" s="1690"/>
      <c r="V84" s="1691"/>
      <c r="W84" s="1709"/>
      <c r="X84" s="1710"/>
      <c r="Y84" s="1817"/>
    </row>
    <row r="85" spans="1:25">
      <c r="A85" s="1717"/>
      <c r="B85" s="1693"/>
      <c r="C85" s="1721"/>
      <c r="D85" s="1722"/>
      <c r="E85" s="1722"/>
      <c r="F85" s="1722"/>
      <c r="G85" s="1722"/>
      <c r="H85" s="1690"/>
      <c r="I85" s="1690"/>
      <c r="J85" s="1690"/>
      <c r="K85" s="1690"/>
      <c r="L85" s="1690"/>
      <c r="M85" s="1690"/>
      <c r="N85" s="1690"/>
      <c r="O85" s="1690"/>
      <c r="P85" s="1690"/>
      <c r="Q85" s="1690"/>
      <c r="R85" s="1690"/>
      <c r="S85" s="1690"/>
      <c r="T85" s="1690"/>
      <c r="U85" s="1690"/>
      <c r="V85" s="1691"/>
      <c r="W85" s="1709"/>
      <c r="X85" s="1710"/>
      <c r="Y85" s="1817"/>
    </row>
    <row r="86" spans="1:25">
      <c r="A86" s="1717"/>
      <c r="B86" s="1692" t="s">
        <v>448</v>
      </c>
      <c r="C86" s="1721"/>
      <c r="D86" s="1722"/>
      <c r="E86" s="1722"/>
      <c r="F86" s="1722"/>
      <c r="G86" s="1722"/>
      <c r="H86" s="1690"/>
      <c r="I86" s="1690"/>
      <c r="J86" s="1690"/>
      <c r="K86" s="1690"/>
      <c r="L86" s="1690"/>
      <c r="M86" s="1690"/>
      <c r="N86" s="1690"/>
      <c r="O86" s="1690"/>
      <c r="P86" s="1690"/>
      <c r="Q86" s="1690"/>
      <c r="R86" s="1690"/>
      <c r="S86" s="1690"/>
      <c r="T86" s="1690"/>
      <c r="U86" s="1690"/>
      <c r="V86" s="1691"/>
      <c r="W86" s="1709"/>
      <c r="X86" s="1710"/>
      <c r="Y86" s="1817"/>
    </row>
    <row r="87" spans="1:25" ht="14.25" thickBot="1">
      <c r="A87" s="1718"/>
      <c r="B87" s="1693"/>
      <c r="C87" s="1723"/>
      <c r="D87" s="1724"/>
      <c r="E87" s="1724"/>
      <c r="F87" s="1724"/>
      <c r="G87" s="1724"/>
      <c r="H87" s="1725"/>
      <c r="I87" s="1725"/>
      <c r="J87" s="1725"/>
      <c r="K87" s="1725"/>
      <c r="L87" s="1725"/>
      <c r="M87" s="1725"/>
      <c r="N87" s="1725"/>
      <c r="O87" s="1725"/>
      <c r="P87" s="1725"/>
      <c r="Q87" s="1725"/>
      <c r="R87" s="1725"/>
      <c r="S87" s="1725"/>
      <c r="T87" s="1725"/>
      <c r="U87" s="1725"/>
      <c r="V87" s="1726"/>
      <c r="W87" s="1709"/>
      <c r="X87" s="1710"/>
      <c r="Y87" s="1817"/>
    </row>
    <row r="88" spans="1:25">
      <c r="A88" s="1717"/>
      <c r="B88" s="1700" t="s">
        <v>130</v>
      </c>
      <c r="C88" s="1721"/>
      <c r="D88" s="1722"/>
      <c r="E88" s="1722"/>
      <c r="F88" s="1722"/>
      <c r="G88" s="1722"/>
      <c r="H88" s="1690"/>
      <c r="I88" s="1690"/>
      <c r="J88" s="1690"/>
      <c r="K88" s="1690"/>
      <c r="L88" s="1690"/>
      <c r="M88" s="1690"/>
      <c r="N88" s="1690"/>
      <c r="O88" s="1690"/>
      <c r="P88" s="1690"/>
      <c r="Q88" s="1690"/>
      <c r="R88" s="1690"/>
      <c r="S88" s="1690"/>
      <c r="T88" s="1690"/>
      <c r="U88" s="1690"/>
      <c r="V88" s="1691"/>
      <c r="W88" s="1709"/>
      <c r="X88" s="1710"/>
      <c r="Y88" s="1817"/>
    </row>
    <row r="89" spans="1:25">
      <c r="A89" s="1717"/>
      <c r="B89" s="1701"/>
      <c r="C89" s="1721"/>
      <c r="D89" s="1722"/>
      <c r="E89" s="1722"/>
      <c r="F89" s="1722"/>
      <c r="G89" s="1722"/>
      <c r="H89" s="1690"/>
      <c r="I89" s="1690"/>
      <c r="J89" s="1690"/>
      <c r="K89" s="1690"/>
      <c r="L89" s="1690"/>
      <c r="M89" s="1690"/>
      <c r="N89" s="1690"/>
      <c r="O89" s="1690"/>
      <c r="P89" s="1690"/>
      <c r="Q89" s="1690"/>
      <c r="R89" s="1690"/>
      <c r="S89" s="1690"/>
      <c r="T89" s="1690"/>
      <c r="U89" s="1690"/>
      <c r="V89" s="1691"/>
      <c r="W89" s="1709"/>
      <c r="X89" s="1710"/>
      <c r="Y89" s="1817"/>
    </row>
    <row r="90" spans="1:25">
      <c r="A90" s="1717"/>
      <c r="B90" s="1700" t="s">
        <v>450</v>
      </c>
      <c r="C90" s="1721"/>
      <c r="D90" s="1722"/>
      <c r="E90" s="1722"/>
      <c r="F90" s="1722"/>
      <c r="G90" s="1722"/>
      <c r="H90" s="1690"/>
      <c r="I90" s="1690"/>
      <c r="J90" s="1690"/>
      <c r="K90" s="1690"/>
      <c r="L90" s="1690"/>
      <c r="M90" s="1690"/>
      <c r="N90" s="1690"/>
      <c r="O90" s="1690"/>
      <c r="P90" s="1690"/>
      <c r="Q90" s="1690"/>
      <c r="R90" s="1690"/>
      <c r="S90" s="1690"/>
      <c r="T90" s="1690"/>
      <c r="U90" s="1690"/>
      <c r="V90" s="1691"/>
      <c r="W90" s="1709"/>
      <c r="X90" s="1710"/>
      <c r="Y90" s="1817"/>
    </row>
    <row r="91" spans="1:25">
      <c r="A91" s="1742"/>
      <c r="B91" s="1701"/>
      <c r="C91" s="1743"/>
      <c r="D91" s="1744"/>
      <c r="E91" s="1744"/>
      <c r="F91" s="1744"/>
      <c r="G91" s="1744"/>
      <c r="H91" s="1690"/>
      <c r="I91" s="1690"/>
      <c r="J91" s="1690"/>
      <c r="K91" s="1690"/>
      <c r="L91" s="1690"/>
      <c r="M91" s="1690"/>
      <c r="N91" s="1690"/>
      <c r="O91" s="1690"/>
      <c r="P91" s="1690"/>
      <c r="Q91" s="1690"/>
      <c r="R91" s="1690"/>
      <c r="S91" s="1690"/>
      <c r="T91" s="1690"/>
      <c r="U91" s="1690"/>
      <c r="V91" s="1691"/>
      <c r="W91" s="1709"/>
      <c r="X91" s="1710"/>
      <c r="Y91" s="1817"/>
    </row>
    <row r="92" spans="1:25">
      <c r="A92" s="1716"/>
      <c r="B92" s="1692" t="s">
        <v>446</v>
      </c>
      <c r="C92" s="1719"/>
      <c r="D92" s="1720"/>
      <c r="E92" s="1720"/>
      <c r="F92" s="1720"/>
      <c r="G92" s="1720"/>
      <c r="H92" s="1690"/>
      <c r="I92" s="1690"/>
      <c r="J92" s="1690"/>
      <c r="K92" s="1690"/>
      <c r="L92" s="1690"/>
      <c r="M92" s="1690"/>
      <c r="N92" s="1690"/>
      <c r="O92" s="1690"/>
      <c r="P92" s="1690"/>
      <c r="Q92" s="1690"/>
      <c r="R92" s="1690"/>
      <c r="S92" s="1690"/>
      <c r="T92" s="1690"/>
      <c r="U92" s="1690"/>
      <c r="V92" s="1691"/>
      <c r="W92" s="1709"/>
      <c r="X92" s="1710"/>
      <c r="Y92" s="1817"/>
    </row>
    <row r="93" spans="1:25">
      <c r="A93" s="1717"/>
      <c r="B93" s="1693"/>
      <c r="C93" s="1721"/>
      <c r="D93" s="1722"/>
      <c r="E93" s="1722"/>
      <c r="F93" s="1722"/>
      <c r="G93" s="1722"/>
      <c r="H93" s="1690"/>
      <c r="I93" s="1690"/>
      <c r="J93" s="1690"/>
      <c r="K93" s="1690"/>
      <c r="L93" s="1690"/>
      <c r="M93" s="1690"/>
      <c r="N93" s="1690"/>
      <c r="O93" s="1690"/>
      <c r="P93" s="1690"/>
      <c r="Q93" s="1690"/>
      <c r="R93" s="1690"/>
      <c r="S93" s="1690"/>
      <c r="T93" s="1690"/>
      <c r="U93" s="1690"/>
      <c r="V93" s="1691"/>
      <c r="W93" s="1709"/>
      <c r="X93" s="1710"/>
      <c r="Y93" s="1817"/>
    </row>
    <row r="94" spans="1:25">
      <c r="A94" s="1717"/>
      <c r="B94" s="1692" t="s">
        <v>448</v>
      </c>
      <c r="C94" s="1721"/>
      <c r="D94" s="1722"/>
      <c r="E94" s="1722"/>
      <c r="F94" s="1722"/>
      <c r="G94" s="1722"/>
      <c r="H94" s="1690"/>
      <c r="I94" s="1690"/>
      <c r="J94" s="1690"/>
      <c r="K94" s="1690"/>
      <c r="L94" s="1690"/>
      <c r="M94" s="1690"/>
      <c r="N94" s="1690"/>
      <c r="O94" s="1690"/>
      <c r="P94" s="1690"/>
      <c r="Q94" s="1690"/>
      <c r="R94" s="1690"/>
      <c r="S94" s="1690"/>
      <c r="T94" s="1690"/>
      <c r="U94" s="1690"/>
      <c r="V94" s="1691"/>
      <c r="W94" s="1709"/>
      <c r="X94" s="1710"/>
      <c r="Y94" s="1817"/>
    </row>
    <row r="95" spans="1:25">
      <c r="A95" s="1717"/>
      <c r="B95" s="1693"/>
      <c r="C95" s="1721"/>
      <c r="D95" s="1722"/>
      <c r="E95" s="1722"/>
      <c r="F95" s="1722"/>
      <c r="G95" s="1722"/>
      <c r="H95" s="1690"/>
      <c r="I95" s="1690"/>
      <c r="J95" s="1690"/>
      <c r="K95" s="1690"/>
      <c r="L95" s="1690"/>
      <c r="M95" s="1690"/>
      <c r="N95" s="1690"/>
      <c r="O95" s="1690"/>
      <c r="P95" s="1690"/>
      <c r="Q95" s="1690"/>
      <c r="R95" s="1690"/>
      <c r="S95" s="1690"/>
      <c r="T95" s="1690"/>
      <c r="U95" s="1690"/>
      <c r="V95" s="1691"/>
      <c r="W95" s="1709"/>
      <c r="X95" s="1710"/>
      <c r="Y95" s="1817"/>
    </row>
    <row r="96" spans="1:25">
      <c r="A96" s="1717"/>
      <c r="B96" s="1700" t="s">
        <v>130</v>
      </c>
      <c r="C96" s="1721"/>
      <c r="D96" s="1722"/>
      <c r="E96" s="1722"/>
      <c r="F96" s="1722"/>
      <c r="G96" s="1722"/>
      <c r="H96" s="1690"/>
      <c r="I96" s="1690"/>
      <c r="J96" s="1690"/>
      <c r="K96" s="1690"/>
      <c r="L96" s="1690"/>
      <c r="M96" s="1690"/>
      <c r="N96" s="1690"/>
      <c r="O96" s="1690"/>
      <c r="P96" s="1690"/>
      <c r="Q96" s="1690"/>
      <c r="R96" s="1690"/>
      <c r="S96" s="1690"/>
      <c r="T96" s="1690"/>
      <c r="U96" s="1690"/>
      <c r="V96" s="1691"/>
      <c r="W96" s="1709"/>
      <c r="X96" s="1710"/>
      <c r="Y96" s="1817"/>
    </row>
    <row r="97" spans="1:25">
      <c r="A97" s="1717"/>
      <c r="B97" s="1701"/>
      <c r="C97" s="1721"/>
      <c r="D97" s="1722"/>
      <c r="E97" s="1722"/>
      <c r="F97" s="1722"/>
      <c r="G97" s="1722"/>
      <c r="H97" s="1690"/>
      <c r="I97" s="1690"/>
      <c r="J97" s="1690"/>
      <c r="K97" s="1690"/>
      <c r="L97" s="1690"/>
      <c r="M97" s="1690"/>
      <c r="N97" s="1690"/>
      <c r="O97" s="1690"/>
      <c r="P97" s="1690"/>
      <c r="Q97" s="1690"/>
      <c r="R97" s="1690"/>
      <c r="S97" s="1690"/>
      <c r="T97" s="1690"/>
      <c r="U97" s="1690"/>
      <c r="V97" s="1691"/>
      <c r="W97" s="1709"/>
      <c r="X97" s="1710"/>
      <c r="Y97" s="1817"/>
    </row>
    <row r="98" spans="1:25">
      <c r="A98" s="1717"/>
      <c r="B98" s="1700" t="s">
        <v>450</v>
      </c>
      <c r="C98" s="1721"/>
      <c r="D98" s="1722"/>
      <c r="E98" s="1722"/>
      <c r="F98" s="1722"/>
      <c r="G98" s="1722"/>
      <c r="H98" s="1690"/>
      <c r="I98" s="1690"/>
      <c r="J98" s="1690"/>
      <c r="K98" s="1690"/>
      <c r="L98" s="1690"/>
      <c r="M98" s="1690"/>
      <c r="N98" s="1690"/>
      <c r="O98" s="1690"/>
      <c r="P98" s="1690"/>
      <c r="Q98" s="1690"/>
      <c r="R98" s="1690"/>
      <c r="S98" s="1690"/>
      <c r="T98" s="1690"/>
      <c r="U98" s="1690"/>
      <c r="V98" s="1691"/>
      <c r="W98" s="1709"/>
      <c r="X98" s="1710"/>
      <c r="Y98" s="1817"/>
    </row>
    <row r="99" spans="1:25">
      <c r="A99" s="1742"/>
      <c r="B99" s="1701"/>
      <c r="C99" s="1743"/>
      <c r="D99" s="1744"/>
      <c r="E99" s="1744"/>
      <c r="F99" s="1744"/>
      <c r="G99" s="1744"/>
      <c r="H99" s="1690"/>
      <c r="I99" s="1690"/>
      <c r="J99" s="1690"/>
      <c r="K99" s="1690"/>
      <c r="L99" s="1690"/>
      <c r="M99" s="1690"/>
      <c r="N99" s="1690"/>
      <c r="O99" s="1690"/>
      <c r="P99" s="1690"/>
      <c r="Q99" s="1690"/>
      <c r="R99" s="1690"/>
      <c r="S99" s="1690"/>
      <c r="T99" s="1690"/>
      <c r="U99" s="1690"/>
      <c r="V99" s="1691"/>
      <c r="W99" s="1709"/>
      <c r="X99" s="1710"/>
      <c r="Y99" s="1817"/>
    </row>
    <row r="100" spans="1:25">
      <c r="A100" s="1716"/>
      <c r="B100" s="1692" t="s">
        <v>446</v>
      </c>
      <c r="C100" s="1719"/>
      <c r="D100" s="1720"/>
      <c r="E100" s="1720"/>
      <c r="F100" s="1720"/>
      <c r="G100" s="1720"/>
      <c r="H100" s="1690"/>
      <c r="I100" s="1690"/>
      <c r="J100" s="1690"/>
      <c r="K100" s="1690"/>
      <c r="L100" s="1690"/>
      <c r="M100" s="1690"/>
      <c r="N100" s="1690"/>
      <c r="O100" s="1690"/>
      <c r="P100" s="1690"/>
      <c r="Q100" s="1690"/>
      <c r="R100" s="1690"/>
      <c r="S100" s="1690"/>
      <c r="T100" s="1690"/>
      <c r="U100" s="1690"/>
      <c r="V100" s="1691"/>
      <c r="W100" s="1709"/>
      <c r="X100" s="1710"/>
      <c r="Y100" s="1817"/>
    </row>
    <row r="101" spans="1:25">
      <c r="A101" s="1717"/>
      <c r="B101" s="1693"/>
      <c r="C101" s="1721"/>
      <c r="D101" s="1722"/>
      <c r="E101" s="1722"/>
      <c r="F101" s="1722"/>
      <c r="G101" s="1722"/>
      <c r="H101" s="1690"/>
      <c r="I101" s="1690"/>
      <c r="J101" s="1690"/>
      <c r="K101" s="1690"/>
      <c r="L101" s="1690"/>
      <c r="M101" s="1690"/>
      <c r="N101" s="1690"/>
      <c r="O101" s="1690"/>
      <c r="P101" s="1690"/>
      <c r="Q101" s="1690"/>
      <c r="R101" s="1690"/>
      <c r="S101" s="1690"/>
      <c r="T101" s="1690"/>
      <c r="U101" s="1690"/>
      <c r="V101" s="1691"/>
      <c r="W101" s="1709"/>
      <c r="X101" s="1710"/>
      <c r="Y101" s="1817"/>
    </row>
    <row r="102" spans="1:25">
      <c r="A102" s="1717"/>
      <c r="B102" s="1692" t="s">
        <v>448</v>
      </c>
      <c r="C102" s="1721"/>
      <c r="D102" s="1722"/>
      <c r="E102" s="1722"/>
      <c r="F102" s="1722"/>
      <c r="G102" s="1722"/>
      <c r="H102" s="1690"/>
      <c r="I102" s="1690"/>
      <c r="J102" s="1690"/>
      <c r="K102" s="1690"/>
      <c r="L102" s="1690"/>
      <c r="M102" s="1690"/>
      <c r="N102" s="1690"/>
      <c r="O102" s="1690"/>
      <c r="P102" s="1690"/>
      <c r="Q102" s="1690"/>
      <c r="R102" s="1690"/>
      <c r="S102" s="1690"/>
      <c r="T102" s="1690"/>
      <c r="U102" s="1690"/>
      <c r="V102" s="1691"/>
      <c r="W102" s="1709"/>
      <c r="X102" s="1710"/>
      <c r="Y102" s="1817"/>
    </row>
    <row r="103" spans="1:25">
      <c r="A103" s="1717"/>
      <c r="B103" s="1693"/>
      <c r="C103" s="1721"/>
      <c r="D103" s="1722"/>
      <c r="E103" s="1722"/>
      <c r="F103" s="1722"/>
      <c r="G103" s="1722"/>
      <c r="H103" s="1690"/>
      <c r="I103" s="1690"/>
      <c r="J103" s="1690"/>
      <c r="K103" s="1690"/>
      <c r="L103" s="1690"/>
      <c r="M103" s="1690"/>
      <c r="N103" s="1690"/>
      <c r="O103" s="1690"/>
      <c r="P103" s="1690"/>
      <c r="Q103" s="1690"/>
      <c r="R103" s="1690"/>
      <c r="S103" s="1690"/>
      <c r="T103" s="1690"/>
      <c r="U103" s="1690"/>
      <c r="V103" s="1691"/>
      <c r="W103" s="1709"/>
      <c r="X103" s="1710"/>
      <c r="Y103" s="1817"/>
    </row>
    <row r="104" spans="1:25">
      <c r="A104" s="1717"/>
      <c r="B104" s="1700" t="s">
        <v>130</v>
      </c>
      <c r="C104" s="1721"/>
      <c r="D104" s="1722"/>
      <c r="E104" s="1722"/>
      <c r="F104" s="1722"/>
      <c r="G104" s="1722"/>
      <c r="H104" s="1690"/>
      <c r="I104" s="1690"/>
      <c r="J104" s="1690"/>
      <c r="K104" s="1690"/>
      <c r="L104" s="1690"/>
      <c r="M104" s="1690"/>
      <c r="N104" s="1690"/>
      <c r="O104" s="1690"/>
      <c r="P104" s="1690"/>
      <c r="Q104" s="1690"/>
      <c r="R104" s="1690"/>
      <c r="S104" s="1690"/>
      <c r="T104" s="1690"/>
      <c r="U104" s="1690"/>
      <c r="V104" s="1691"/>
      <c r="W104" s="1709"/>
      <c r="X104" s="1710"/>
      <c r="Y104" s="1817"/>
    </row>
    <row r="105" spans="1:25">
      <c r="A105" s="1717"/>
      <c r="B105" s="1701"/>
      <c r="C105" s="1721"/>
      <c r="D105" s="1722"/>
      <c r="E105" s="1722"/>
      <c r="F105" s="1722"/>
      <c r="G105" s="1722"/>
      <c r="H105" s="1690"/>
      <c r="I105" s="1690"/>
      <c r="J105" s="1690"/>
      <c r="K105" s="1690"/>
      <c r="L105" s="1690"/>
      <c r="M105" s="1690"/>
      <c r="N105" s="1690"/>
      <c r="O105" s="1690"/>
      <c r="P105" s="1690"/>
      <c r="Q105" s="1690"/>
      <c r="R105" s="1690"/>
      <c r="S105" s="1690"/>
      <c r="T105" s="1690"/>
      <c r="U105" s="1690"/>
      <c r="V105" s="1691"/>
      <c r="W105" s="1709"/>
      <c r="X105" s="1710"/>
      <c r="Y105" s="1817"/>
    </row>
    <row r="106" spans="1:25">
      <c r="A106" s="1717"/>
      <c r="B106" s="1700" t="s">
        <v>450</v>
      </c>
      <c r="C106" s="1721"/>
      <c r="D106" s="1722"/>
      <c r="E106" s="1722"/>
      <c r="F106" s="1722"/>
      <c r="G106" s="1722"/>
      <c r="H106" s="1690"/>
      <c r="I106" s="1690"/>
      <c r="J106" s="1690"/>
      <c r="K106" s="1690"/>
      <c r="L106" s="1690"/>
      <c r="M106" s="1690"/>
      <c r="N106" s="1690"/>
      <c r="O106" s="1690"/>
      <c r="P106" s="1690"/>
      <c r="Q106" s="1690"/>
      <c r="R106" s="1690"/>
      <c r="S106" s="1690"/>
      <c r="T106" s="1690"/>
      <c r="U106" s="1690"/>
      <c r="V106" s="1691"/>
      <c r="W106" s="1709"/>
      <c r="X106" s="1710"/>
      <c r="Y106" s="1817"/>
    </row>
    <row r="107" spans="1:25" ht="14.25" thickBot="1">
      <c r="A107" s="1718"/>
      <c r="B107" s="1707"/>
      <c r="C107" s="1723"/>
      <c r="D107" s="1724"/>
      <c r="E107" s="1724"/>
      <c r="F107" s="1724"/>
      <c r="G107" s="1724"/>
      <c r="H107" s="1725"/>
      <c r="I107" s="1725"/>
      <c r="J107" s="1725"/>
      <c r="K107" s="1725"/>
      <c r="L107" s="1725"/>
      <c r="M107" s="1725"/>
      <c r="N107" s="1725"/>
      <c r="O107" s="1725"/>
      <c r="P107" s="1725"/>
      <c r="Q107" s="1725"/>
      <c r="R107" s="1725"/>
      <c r="S107" s="1725"/>
      <c r="T107" s="1725"/>
      <c r="U107" s="1725"/>
      <c r="V107" s="1726"/>
      <c r="W107" s="1711"/>
      <c r="X107" s="1712"/>
      <c r="Y107" s="1817"/>
    </row>
    <row r="108" spans="1:25" ht="14.25" thickBot="1">
      <c r="A108" s="509"/>
      <c r="B108" s="868"/>
      <c r="C108" s="1563" t="s">
        <v>156</v>
      </c>
      <c r="D108" s="1563"/>
      <c r="E108" s="1563"/>
      <c r="F108" s="1563"/>
      <c r="G108" s="1563"/>
      <c r="H108" s="1563"/>
      <c r="I108" s="1563"/>
      <c r="J108" s="1563"/>
      <c r="K108" s="1563"/>
      <c r="L108" s="1563"/>
      <c r="M108" s="1563"/>
      <c r="N108" s="1563"/>
      <c r="O108" s="1563"/>
      <c r="P108" s="1563"/>
      <c r="Q108" s="1563"/>
      <c r="R108" s="1563"/>
      <c r="S108" s="1563"/>
      <c r="T108" s="1563"/>
      <c r="U108" s="1563"/>
      <c r="V108" s="1563"/>
      <c r="W108" s="1563"/>
      <c r="X108" s="1563"/>
      <c r="Y108" s="1817"/>
    </row>
    <row r="109" spans="1:25" ht="14.25" thickTop="1">
      <c r="A109" s="509"/>
      <c r="B109" s="509"/>
      <c r="C109" s="1663" t="s">
        <v>157</v>
      </c>
      <c r="D109" s="1664"/>
      <c r="E109" s="1664"/>
      <c r="F109" s="1664"/>
      <c r="G109" s="1664"/>
      <c r="H109" s="1667"/>
      <c r="I109" s="1668"/>
      <c r="J109" s="1668"/>
      <c r="K109" s="1668"/>
      <c r="L109" s="1669"/>
      <c r="M109" s="509"/>
      <c r="N109" s="509"/>
      <c r="O109" s="509"/>
      <c r="P109" s="509"/>
      <c r="Q109" s="1661" t="s">
        <v>158</v>
      </c>
      <c r="R109" s="1661"/>
      <c r="S109" s="1661"/>
      <c r="T109" s="1673"/>
      <c r="U109" s="1673"/>
      <c r="V109" s="1673"/>
      <c r="W109" s="1674" t="s">
        <v>125</v>
      </c>
      <c r="X109" s="1673"/>
      <c r="Y109" s="1817"/>
    </row>
    <row r="110" spans="1:25" ht="14.25" thickBot="1">
      <c r="A110" s="509"/>
      <c r="B110" s="509"/>
      <c r="C110" s="1665"/>
      <c r="D110" s="1666"/>
      <c r="E110" s="1666"/>
      <c r="F110" s="1666"/>
      <c r="G110" s="1666"/>
      <c r="H110" s="1670"/>
      <c r="I110" s="1671"/>
      <c r="J110" s="1671"/>
      <c r="K110" s="1671"/>
      <c r="L110" s="1672"/>
      <c r="M110" s="509"/>
      <c r="N110" s="509"/>
      <c r="O110" s="509"/>
      <c r="P110" s="509"/>
      <c r="Q110" s="1661"/>
      <c r="R110" s="1661"/>
      <c r="S110" s="1661"/>
      <c r="T110" s="1673"/>
      <c r="U110" s="1673"/>
      <c r="V110" s="1673"/>
      <c r="W110" s="1674"/>
      <c r="X110" s="1673"/>
      <c r="Y110" s="1817"/>
    </row>
    <row r="111" spans="1:25" ht="24" thickTop="1">
      <c r="A111" s="1320" t="s">
        <v>123</v>
      </c>
      <c r="B111" s="1320"/>
      <c r="C111" s="1320"/>
      <c r="D111" s="1320"/>
      <c r="E111" s="1320"/>
      <c r="F111" s="1320"/>
      <c r="G111" s="1320"/>
      <c r="H111" s="1320"/>
      <c r="I111" s="1320"/>
      <c r="J111" s="1320"/>
      <c r="K111" s="1320"/>
      <c r="L111" s="1320"/>
      <c r="M111" s="1320"/>
      <c r="N111" s="1320"/>
      <c r="O111" s="1320"/>
      <c r="P111" s="1320"/>
      <c r="Q111" s="1320"/>
      <c r="R111" s="1320"/>
      <c r="S111" s="1320"/>
      <c r="T111" s="1320"/>
      <c r="U111" s="1320"/>
      <c r="V111" s="1320"/>
      <c r="W111" s="1320"/>
      <c r="X111" s="1320"/>
      <c r="Y111" s="1817"/>
    </row>
    <row r="112" spans="1:25">
      <c r="A112" s="492"/>
      <c r="B112" s="492"/>
      <c r="C112" s="492"/>
      <c r="D112" s="492"/>
      <c r="E112" s="492"/>
      <c r="F112" s="492"/>
      <c r="G112" s="492"/>
      <c r="H112" s="492"/>
      <c r="I112" s="492"/>
      <c r="J112" s="492"/>
      <c r="K112" s="492"/>
      <c r="L112" s="492"/>
      <c r="M112" s="492"/>
      <c r="N112" s="492"/>
      <c r="O112" s="492"/>
      <c r="P112" s="492"/>
      <c r="Q112" s="492"/>
      <c r="R112" s="492"/>
      <c r="S112" s="492"/>
      <c r="T112" s="492"/>
      <c r="U112" s="452" t="s">
        <v>88</v>
      </c>
      <c r="V112" s="493">
        <v>3</v>
      </c>
      <c r="W112" s="865" t="s">
        <v>125</v>
      </c>
      <c r="X112" s="495"/>
      <c r="Y112" s="1817"/>
    </row>
    <row r="113" spans="1:25" ht="14.25" thickBot="1">
      <c r="A113" s="1870" t="s">
        <v>127</v>
      </c>
      <c r="B113" s="1821"/>
      <c r="C113" s="1872" t="s">
        <v>451</v>
      </c>
      <c r="D113" s="1872"/>
      <c r="E113" s="1872"/>
      <c r="F113" s="1872"/>
      <c r="G113" s="1872"/>
      <c r="H113" s="1872"/>
      <c r="I113" s="1872"/>
      <c r="J113" s="1872"/>
      <c r="K113" s="1872"/>
      <c r="L113" s="1872"/>
      <c r="M113" s="1872"/>
      <c r="N113" s="1872"/>
      <c r="O113" s="1855"/>
      <c r="P113" s="1855"/>
      <c r="Q113" s="1855"/>
      <c r="R113" s="1855"/>
      <c r="S113" s="1855"/>
      <c r="T113" s="1855"/>
      <c r="U113" s="452"/>
      <c r="V113" s="452"/>
      <c r="W113" s="452"/>
      <c r="X113" s="452"/>
      <c r="Y113" s="1817"/>
    </row>
    <row r="114" spans="1:25" ht="14.25" thickBot="1">
      <c r="A114" s="1871"/>
      <c r="B114" s="1827"/>
      <c r="C114" s="1849" t="s">
        <v>128</v>
      </c>
      <c r="D114" s="1850"/>
      <c r="E114" s="1850"/>
      <c r="F114" s="1850" t="s">
        <v>129</v>
      </c>
      <c r="G114" s="1850"/>
      <c r="H114" s="1850"/>
      <c r="I114" s="1850" t="s">
        <v>130</v>
      </c>
      <c r="J114" s="1850"/>
      <c r="K114" s="1850"/>
      <c r="L114" s="1850" t="s">
        <v>131</v>
      </c>
      <c r="M114" s="1850"/>
      <c r="N114" s="1876"/>
      <c r="O114" s="1844" t="s">
        <v>132</v>
      </c>
      <c r="P114" s="1843"/>
      <c r="Q114" s="1842" t="s">
        <v>133</v>
      </c>
      <c r="R114" s="1843"/>
      <c r="S114" s="1842" t="s">
        <v>134</v>
      </c>
      <c r="T114" s="1843"/>
      <c r="U114" s="452"/>
      <c r="V114" s="1845" t="s">
        <v>135</v>
      </c>
      <c r="W114" s="1848"/>
      <c r="X114" s="1848"/>
      <c r="Y114" s="1817"/>
    </row>
    <row r="115" spans="1:25" ht="14.25" thickBot="1">
      <c r="A115" s="1848" t="s">
        <v>136</v>
      </c>
      <c r="B115" s="1848"/>
      <c r="C115" s="1859" t="s">
        <v>137</v>
      </c>
      <c r="D115" s="1859"/>
      <c r="E115" s="1859"/>
      <c r="F115" s="1859"/>
      <c r="G115" s="1859"/>
      <c r="H115" s="1859"/>
      <c r="I115" s="1859"/>
      <c r="J115" s="1859"/>
      <c r="K115" s="1859"/>
      <c r="L115" s="1859" t="s">
        <v>138</v>
      </c>
      <c r="M115" s="1859"/>
      <c r="N115" s="1859"/>
      <c r="O115" s="1860" t="s">
        <v>2949</v>
      </c>
      <c r="P115" s="1861"/>
      <c r="Q115" s="1861"/>
      <c r="R115" s="1861"/>
      <c r="S115" s="1861"/>
      <c r="T115" s="1862"/>
      <c r="U115" s="496"/>
      <c r="V115" s="1846"/>
      <c r="W115" s="1848"/>
      <c r="X115" s="1848"/>
      <c r="Y115" s="1817"/>
    </row>
    <row r="116" spans="1:25" ht="14.25" thickBot="1">
      <c r="A116" s="1828" t="s">
        <v>140</v>
      </c>
      <c r="B116" s="1828"/>
      <c r="C116" s="1830" t="s">
        <v>141</v>
      </c>
      <c r="D116" s="1831"/>
      <c r="E116" s="1831"/>
      <c r="F116" s="1831"/>
      <c r="G116" s="1831"/>
      <c r="H116" s="1831"/>
      <c r="I116" s="1831"/>
      <c r="J116" s="1831"/>
      <c r="K116" s="1831"/>
      <c r="L116" s="1831"/>
      <c r="M116" s="1831"/>
      <c r="N116" s="1832"/>
      <c r="O116" s="1863"/>
      <c r="P116" s="1863"/>
      <c r="Q116" s="1863"/>
      <c r="R116" s="1863"/>
      <c r="S116" s="1863"/>
      <c r="T116" s="1864"/>
      <c r="U116" s="497"/>
      <c r="V116" s="1846"/>
      <c r="W116" s="1848"/>
      <c r="X116" s="1848"/>
      <c r="Y116" s="1817"/>
    </row>
    <row r="117" spans="1:25">
      <c r="A117" s="1829"/>
      <c r="B117" s="1829"/>
      <c r="C117" s="1830"/>
      <c r="D117" s="1831"/>
      <c r="E117" s="1831"/>
      <c r="F117" s="1831"/>
      <c r="G117" s="1831"/>
      <c r="H117" s="1831"/>
      <c r="I117" s="1831"/>
      <c r="J117" s="1831"/>
      <c r="K117" s="1831"/>
      <c r="L117" s="1831"/>
      <c r="M117" s="1831"/>
      <c r="N117" s="1832"/>
      <c r="O117" s="1865"/>
      <c r="P117" s="1865"/>
      <c r="Q117" s="1865"/>
      <c r="R117" s="1865"/>
      <c r="S117" s="1865"/>
      <c r="T117" s="1866"/>
      <c r="U117" s="496"/>
      <c r="V117" s="1846"/>
      <c r="W117" s="1848"/>
      <c r="X117" s="1848"/>
      <c r="Y117" s="1817"/>
    </row>
    <row r="118" spans="1:25">
      <c r="A118" s="1828"/>
      <c r="B118" s="1828"/>
      <c r="C118" s="1833"/>
      <c r="D118" s="1834"/>
      <c r="E118" s="1834"/>
      <c r="F118" s="1834"/>
      <c r="G118" s="1834"/>
      <c r="H118" s="1834"/>
      <c r="I118" s="1834"/>
      <c r="J118" s="1834"/>
      <c r="K118" s="1834"/>
      <c r="L118" s="1834"/>
      <c r="M118" s="1834"/>
      <c r="N118" s="1835"/>
      <c r="O118" s="1863"/>
      <c r="P118" s="1863"/>
      <c r="Q118" s="1863"/>
      <c r="R118" s="1863"/>
      <c r="S118" s="1863"/>
      <c r="T118" s="1864"/>
      <c r="U118" s="496"/>
      <c r="V118" s="1846"/>
      <c r="W118" s="1848"/>
      <c r="X118" s="1848"/>
      <c r="Y118" s="1817"/>
    </row>
    <row r="119" spans="1:25" ht="14.25" thickBot="1">
      <c r="A119" s="1828"/>
      <c r="B119" s="1828"/>
      <c r="C119" s="1836"/>
      <c r="D119" s="1837"/>
      <c r="E119" s="1837"/>
      <c r="F119" s="1837"/>
      <c r="G119" s="1837"/>
      <c r="H119" s="1837"/>
      <c r="I119" s="1837"/>
      <c r="J119" s="1837"/>
      <c r="K119" s="1837"/>
      <c r="L119" s="1837"/>
      <c r="M119" s="1837"/>
      <c r="N119" s="1838"/>
      <c r="O119" s="1867"/>
      <c r="P119" s="1867"/>
      <c r="Q119" s="1867"/>
      <c r="R119" s="1867"/>
      <c r="S119" s="1867"/>
      <c r="T119" s="1868"/>
      <c r="U119" s="496"/>
      <c r="V119" s="1847"/>
      <c r="W119" s="1848"/>
      <c r="X119" s="1848"/>
      <c r="Y119" s="1817"/>
    </row>
    <row r="120" spans="1:25">
      <c r="A120" s="1822" t="s">
        <v>142</v>
      </c>
      <c r="B120" s="1822"/>
      <c r="C120" s="1822"/>
      <c r="D120" s="1822"/>
      <c r="E120" s="1822"/>
      <c r="F120" s="1822"/>
      <c r="G120" s="1822"/>
      <c r="H120" s="1822"/>
      <c r="I120" s="1822"/>
      <c r="J120" s="1822"/>
      <c r="K120" s="1822"/>
      <c r="L120" s="1822"/>
      <c r="M120" s="1822"/>
      <c r="N120" s="1822"/>
      <c r="O120" s="1822"/>
      <c r="P120" s="1822"/>
      <c r="Q120" s="1822"/>
      <c r="R120" s="1822"/>
      <c r="S120" s="1822"/>
      <c r="T120" s="1822"/>
      <c r="U120" s="452"/>
      <c r="V120" s="452"/>
      <c r="W120" s="452"/>
      <c r="X120" s="452"/>
      <c r="Y120" s="1817"/>
    </row>
    <row r="121" spans="1:25" ht="27" customHeight="1">
      <c r="A121" s="1189" t="s">
        <v>87</v>
      </c>
      <c r="B121" s="1189"/>
      <c r="C121" s="1824">
        <f>'01 使用承認申請書'!D114</f>
        <v>0</v>
      </c>
      <c r="D121" s="1824"/>
      <c r="E121" s="1824"/>
      <c r="F121" s="1824"/>
      <c r="G121" s="1824"/>
      <c r="H121" s="1824"/>
      <c r="I121" s="1824"/>
      <c r="J121" s="1824"/>
      <c r="K121" s="1824"/>
      <c r="L121" s="1824"/>
      <c r="M121" s="1824"/>
      <c r="N121" s="1824"/>
      <c r="O121" s="1824"/>
      <c r="P121" s="1824"/>
      <c r="Q121" s="1824"/>
      <c r="R121" s="1824"/>
      <c r="S121" s="498"/>
      <c r="T121" s="499"/>
      <c r="U121" s="499"/>
      <c r="V121" s="499"/>
      <c r="W121" s="452"/>
      <c r="X121" s="500"/>
      <c r="Y121" s="1817"/>
    </row>
    <row r="122" spans="1:25">
      <c r="A122" s="1826" t="s">
        <v>86</v>
      </c>
      <c r="B122" s="1826"/>
      <c r="C122" s="1818" t="str">
        <f>CONCATENATE('01 使用承認申請書'!B122)</f>
        <v/>
      </c>
      <c r="D122" s="1827" t="s">
        <v>18</v>
      </c>
      <c r="E122" s="1818" t="str">
        <f>CONCATENATE('01 使用承認申請書'!C124)</f>
        <v/>
      </c>
      <c r="F122" s="1821" t="s">
        <v>17</v>
      </c>
      <c r="G122" s="1818" t="str">
        <f>CONCATENATE('01 使用承認申請書'!F124)</f>
        <v/>
      </c>
      <c r="H122" s="1821" t="s">
        <v>16</v>
      </c>
      <c r="I122" s="1821" t="s">
        <v>43</v>
      </c>
      <c r="J122" s="1818" t="str">
        <f>CONCATENATE('01 使用承認申請書'!J124)</f>
        <v/>
      </c>
      <c r="K122" s="1821" t="s">
        <v>42</v>
      </c>
      <c r="L122" s="1821" t="s">
        <v>40</v>
      </c>
      <c r="M122" s="1818" t="str">
        <f>CONCATENATE('01 使用承認申請書'!C126)</f>
        <v/>
      </c>
      <c r="N122" s="1821" t="s">
        <v>17</v>
      </c>
      <c r="O122" s="1818" t="str">
        <f>CONCATENATE('01 使用承認申請書'!F126)</f>
        <v/>
      </c>
      <c r="P122" s="1821" t="s">
        <v>16</v>
      </c>
      <c r="Q122" s="1821" t="s">
        <v>43</v>
      </c>
      <c r="R122" s="1818" t="str">
        <f>CONCATENATE('01 使用承認申請書'!J126)</f>
        <v/>
      </c>
      <c r="S122" s="1827" t="s">
        <v>42</v>
      </c>
      <c r="T122" s="867"/>
      <c r="U122" s="502" t="str">
        <f>CONCATENATE('01 使用承認申請書'!L123)</f>
        <v/>
      </c>
      <c r="V122" s="452" t="s">
        <v>51</v>
      </c>
      <c r="W122" s="502" t="str">
        <f>CONCATENATE('01 使用承認申請書'!Q123)</f>
        <v/>
      </c>
      <c r="X122" s="452" t="s">
        <v>16</v>
      </c>
      <c r="Y122" s="1817"/>
    </row>
    <row r="123" spans="1:25">
      <c r="A123" s="1189"/>
      <c r="B123" s="1189"/>
      <c r="C123" s="1819"/>
      <c r="D123" s="1820"/>
      <c r="E123" s="1819"/>
      <c r="F123" s="1820"/>
      <c r="G123" s="1819"/>
      <c r="H123" s="1820"/>
      <c r="I123" s="1820"/>
      <c r="J123" s="1819"/>
      <c r="K123" s="1820"/>
      <c r="L123" s="1820"/>
      <c r="M123" s="1819"/>
      <c r="N123" s="1820"/>
      <c r="O123" s="1819"/>
      <c r="P123" s="1820"/>
      <c r="Q123" s="1820"/>
      <c r="R123" s="1819"/>
      <c r="S123" s="1820"/>
      <c r="T123" s="865"/>
      <c r="U123" s="1820" t="s">
        <v>52</v>
      </c>
      <c r="V123" s="1820"/>
      <c r="W123" s="866" t="str">
        <f>CONCATENATE('01 使用承認申請書'!V123)</f>
        <v/>
      </c>
      <c r="X123" s="504" t="s">
        <v>16</v>
      </c>
      <c r="Y123" s="1817"/>
    </row>
    <row r="124" spans="1:25" ht="16.5">
      <c r="A124" s="871"/>
      <c r="B124" s="871"/>
      <c r="C124" s="869"/>
      <c r="D124" s="869"/>
      <c r="E124" s="869"/>
      <c r="F124" s="869"/>
      <c r="G124" s="869"/>
      <c r="H124" s="869"/>
      <c r="I124" s="869"/>
      <c r="J124" s="869"/>
      <c r="K124" s="869"/>
      <c r="L124" s="869"/>
      <c r="M124" s="869"/>
      <c r="N124" s="869"/>
      <c r="O124" s="869"/>
      <c r="P124" s="869"/>
      <c r="Q124" s="869"/>
      <c r="R124" s="869"/>
      <c r="S124" s="507"/>
      <c r="T124" s="869"/>
      <c r="U124" s="508"/>
      <c r="V124" s="508"/>
      <c r="W124" s="508"/>
      <c r="X124" s="508"/>
      <c r="Y124" s="1817"/>
    </row>
    <row r="125" spans="1:25" ht="14.25" thickBot="1">
      <c r="A125" s="1839" t="s">
        <v>2927</v>
      </c>
      <c r="B125" s="1839"/>
      <c r="C125" s="1839"/>
      <c r="D125" s="1839"/>
      <c r="E125" s="1839"/>
      <c r="F125" s="1839"/>
      <c r="G125" s="1839"/>
      <c r="H125" s="1839"/>
      <c r="I125" s="1839"/>
      <c r="J125" s="1839"/>
      <c r="K125" s="1839"/>
      <c r="L125" s="1839"/>
      <c r="M125" s="1839"/>
      <c r="N125" s="1839"/>
      <c r="O125" s="1839"/>
      <c r="P125" s="1839"/>
      <c r="Q125" s="1839"/>
      <c r="R125" s="1839"/>
      <c r="S125" s="1839"/>
      <c r="T125" s="1839"/>
      <c r="U125" s="1839"/>
      <c r="V125" s="1839"/>
      <c r="W125" s="1839"/>
      <c r="X125" s="1839"/>
      <c r="Y125" s="1817"/>
    </row>
    <row r="126" spans="1:25" ht="32.450000000000003" customHeight="1" thickBot="1">
      <c r="A126" s="1799" t="s">
        <v>144</v>
      </c>
      <c r="B126" s="1776" t="s">
        <v>2963</v>
      </c>
      <c r="C126" s="1783" t="s">
        <v>2962</v>
      </c>
      <c r="D126" s="1781"/>
      <c r="E126" s="1781"/>
      <c r="F126" s="1781"/>
      <c r="G126" s="1782"/>
      <c r="H126" s="1780" t="s">
        <v>2961</v>
      </c>
      <c r="I126" s="1781"/>
      <c r="J126" s="1781"/>
      <c r="K126" s="1781"/>
      <c r="L126" s="1782"/>
      <c r="M126" s="1780" t="s">
        <v>2960</v>
      </c>
      <c r="N126" s="1781"/>
      <c r="O126" s="1781"/>
      <c r="P126" s="1781"/>
      <c r="Q126" s="1782"/>
      <c r="R126" s="1781" t="s">
        <v>2962</v>
      </c>
      <c r="S126" s="1781"/>
      <c r="T126" s="1781"/>
      <c r="U126" s="1781"/>
      <c r="V126" s="1784"/>
      <c r="W126" s="1787" t="s">
        <v>112</v>
      </c>
      <c r="X126" s="1788"/>
      <c r="Y126" s="1817"/>
    </row>
    <row r="127" spans="1:25" ht="32.450000000000003" customHeight="1">
      <c r="A127" s="1800"/>
      <c r="B127" s="1779"/>
      <c r="C127" s="1877"/>
      <c r="D127" s="1878"/>
      <c r="E127" s="865" t="s">
        <v>145</v>
      </c>
      <c r="F127" s="872"/>
      <c r="G127" s="864" t="s">
        <v>2959</v>
      </c>
      <c r="H127" s="1879"/>
      <c r="I127" s="1878"/>
      <c r="J127" s="865" t="s">
        <v>145</v>
      </c>
      <c r="K127" s="872"/>
      <c r="L127" s="864" t="s">
        <v>2959</v>
      </c>
      <c r="M127" s="1879"/>
      <c r="N127" s="1878"/>
      <c r="O127" s="865" t="s">
        <v>145</v>
      </c>
      <c r="P127" s="872"/>
      <c r="Q127" s="864" t="s">
        <v>2959</v>
      </c>
      <c r="R127" s="1879"/>
      <c r="S127" s="1878"/>
      <c r="T127" s="865" t="s">
        <v>145</v>
      </c>
      <c r="U127" s="872"/>
      <c r="V127" s="798" t="s">
        <v>2959</v>
      </c>
      <c r="W127" s="1789"/>
      <c r="X127" s="1790"/>
      <c r="Y127" s="1817"/>
    </row>
    <row r="128" spans="1:25" ht="32.450000000000003" customHeight="1">
      <c r="A128" s="1800"/>
      <c r="B128" s="1779"/>
      <c r="C128" s="1767"/>
      <c r="D128" s="1767"/>
      <c r="E128" s="1767"/>
      <c r="F128" s="1767"/>
      <c r="G128" s="1768"/>
      <c r="H128" s="1769"/>
      <c r="I128" s="1767"/>
      <c r="J128" s="1767"/>
      <c r="K128" s="1767"/>
      <c r="L128" s="1768"/>
      <c r="M128" s="1767"/>
      <c r="N128" s="1767"/>
      <c r="O128" s="1767"/>
      <c r="P128" s="1767"/>
      <c r="Q128" s="1768"/>
      <c r="R128" s="1769"/>
      <c r="S128" s="1767"/>
      <c r="T128" s="1767"/>
      <c r="U128" s="1767"/>
      <c r="V128" s="1770"/>
      <c r="W128" s="1789"/>
      <c r="X128" s="1790"/>
      <c r="Y128" s="1817"/>
    </row>
    <row r="129" spans="1:25" ht="32.450000000000003" customHeight="1" thickBot="1">
      <c r="A129" s="1800"/>
      <c r="B129" s="1779"/>
      <c r="C129" s="1812" t="str">
        <f>IFERROR(_xlfn.IFS($BB$19="土通常食",$BD$10,$BB$19="日通常食",$BD$9),"")</f>
        <v/>
      </c>
      <c r="D129" s="1812"/>
      <c r="E129" s="1812"/>
      <c r="F129" s="1812"/>
      <c r="G129" s="1813"/>
      <c r="H129" s="1814" t="str">
        <f>IFERROR(_xlfn.IFS($BB$20="土通常食",$BD$10,$BB$20="日通常食",$BD$9),"")</f>
        <v/>
      </c>
      <c r="I129" s="1812"/>
      <c r="J129" s="1812"/>
      <c r="K129" s="1812"/>
      <c r="L129" s="1813"/>
      <c r="M129" s="1814" t="str">
        <f>IFERROR(_xlfn.IFS($BB$21="土通常食",$BD$10,$BB$21="日通常食",$BD$9),"")</f>
        <v/>
      </c>
      <c r="N129" s="1812"/>
      <c r="O129" s="1812"/>
      <c r="P129" s="1812"/>
      <c r="Q129" s="1813"/>
      <c r="R129" s="1815" t="str">
        <f>IFERROR(_xlfn.IFS($BB$22="土通常食",$BD$10,$BB$22="日通常食",$BD$9),"")</f>
        <v/>
      </c>
      <c r="S129" s="1815"/>
      <c r="T129" s="1815"/>
      <c r="U129" s="1815"/>
      <c r="V129" s="1816"/>
      <c r="W129" s="1789"/>
      <c r="X129" s="1790"/>
      <c r="Y129" s="1817"/>
    </row>
    <row r="130" spans="1:25" ht="15" thickTop="1" thickBot="1">
      <c r="A130" s="1801"/>
      <c r="B130" s="1802"/>
      <c r="C130" s="1810" t="s">
        <v>148</v>
      </c>
      <c r="D130" s="1810"/>
      <c r="E130" s="1810"/>
      <c r="F130" s="1810"/>
      <c r="G130" s="1810"/>
      <c r="H130" s="1810"/>
      <c r="I130" s="1810"/>
      <c r="J130" s="1810"/>
      <c r="K130" s="1810"/>
      <c r="L130" s="1810"/>
      <c r="M130" s="1810"/>
      <c r="N130" s="1810"/>
      <c r="O130" s="1810"/>
      <c r="P130" s="1810"/>
      <c r="Q130" s="1810"/>
      <c r="R130" s="1810"/>
      <c r="S130" s="1810"/>
      <c r="T130" s="1810"/>
      <c r="U130" s="1810"/>
      <c r="V130" s="1811"/>
      <c r="W130" s="1791"/>
      <c r="X130" s="1792"/>
      <c r="Y130" s="1817"/>
    </row>
    <row r="131" spans="1:25">
      <c r="A131" s="1761"/>
      <c r="B131" s="1762" t="s">
        <v>446</v>
      </c>
      <c r="C131" s="1763"/>
      <c r="D131" s="1764"/>
      <c r="E131" s="1764"/>
      <c r="F131" s="1764"/>
      <c r="G131" s="1764"/>
      <c r="H131" s="1765"/>
      <c r="I131" s="1765"/>
      <c r="J131" s="1765"/>
      <c r="K131" s="1765"/>
      <c r="L131" s="1765"/>
      <c r="M131" s="1765"/>
      <c r="N131" s="1765"/>
      <c r="O131" s="1765"/>
      <c r="P131" s="1765"/>
      <c r="Q131" s="1765"/>
      <c r="R131" s="1765"/>
      <c r="S131" s="1765"/>
      <c r="T131" s="1765"/>
      <c r="U131" s="1765"/>
      <c r="V131" s="1766"/>
      <c r="W131" s="1754"/>
      <c r="X131" s="1755"/>
      <c r="Y131" s="1817"/>
    </row>
    <row r="132" spans="1:25">
      <c r="A132" s="1717"/>
      <c r="B132" s="1693"/>
      <c r="C132" s="1721"/>
      <c r="D132" s="1722"/>
      <c r="E132" s="1722"/>
      <c r="F132" s="1722"/>
      <c r="G132" s="1722"/>
      <c r="H132" s="1690"/>
      <c r="I132" s="1690"/>
      <c r="J132" s="1690"/>
      <c r="K132" s="1690"/>
      <c r="L132" s="1690"/>
      <c r="M132" s="1690"/>
      <c r="N132" s="1690"/>
      <c r="O132" s="1690"/>
      <c r="P132" s="1690"/>
      <c r="Q132" s="1690"/>
      <c r="R132" s="1690"/>
      <c r="S132" s="1690"/>
      <c r="T132" s="1690"/>
      <c r="U132" s="1690"/>
      <c r="V132" s="1691"/>
      <c r="W132" s="1709"/>
      <c r="X132" s="1710"/>
      <c r="Y132" s="1817"/>
    </row>
    <row r="133" spans="1:25">
      <c r="A133" s="1717"/>
      <c r="B133" s="1692" t="s">
        <v>448</v>
      </c>
      <c r="C133" s="1721"/>
      <c r="D133" s="1722"/>
      <c r="E133" s="1722"/>
      <c r="F133" s="1722"/>
      <c r="G133" s="1722"/>
      <c r="H133" s="1690"/>
      <c r="I133" s="1690"/>
      <c r="J133" s="1690"/>
      <c r="K133" s="1690"/>
      <c r="L133" s="1690"/>
      <c r="M133" s="1690"/>
      <c r="N133" s="1690"/>
      <c r="O133" s="1690"/>
      <c r="P133" s="1690"/>
      <c r="Q133" s="1690"/>
      <c r="R133" s="1690"/>
      <c r="S133" s="1690"/>
      <c r="T133" s="1690"/>
      <c r="U133" s="1690"/>
      <c r="V133" s="1691"/>
      <c r="W133" s="1709"/>
      <c r="X133" s="1710"/>
      <c r="Y133" s="1817"/>
    </row>
    <row r="134" spans="1:25">
      <c r="A134" s="1717"/>
      <c r="B134" s="1693"/>
      <c r="C134" s="1721"/>
      <c r="D134" s="1722"/>
      <c r="E134" s="1722"/>
      <c r="F134" s="1722"/>
      <c r="G134" s="1722"/>
      <c r="H134" s="1690"/>
      <c r="I134" s="1690"/>
      <c r="J134" s="1690"/>
      <c r="K134" s="1690"/>
      <c r="L134" s="1690"/>
      <c r="M134" s="1690"/>
      <c r="N134" s="1690"/>
      <c r="O134" s="1690"/>
      <c r="P134" s="1690"/>
      <c r="Q134" s="1690"/>
      <c r="R134" s="1690"/>
      <c r="S134" s="1690"/>
      <c r="T134" s="1690"/>
      <c r="U134" s="1690"/>
      <c r="V134" s="1691"/>
      <c r="W134" s="1709"/>
      <c r="X134" s="1710"/>
      <c r="Y134" s="1817"/>
    </row>
    <row r="135" spans="1:25">
      <c r="A135" s="1717"/>
      <c r="B135" s="1700" t="s">
        <v>130</v>
      </c>
      <c r="C135" s="1721"/>
      <c r="D135" s="1722"/>
      <c r="E135" s="1722"/>
      <c r="F135" s="1722"/>
      <c r="G135" s="1722"/>
      <c r="H135" s="1690"/>
      <c r="I135" s="1690"/>
      <c r="J135" s="1690"/>
      <c r="K135" s="1690"/>
      <c r="L135" s="1690"/>
      <c r="M135" s="1690"/>
      <c r="N135" s="1690"/>
      <c r="O135" s="1690"/>
      <c r="P135" s="1690"/>
      <c r="Q135" s="1690"/>
      <c r="R135" s="1690"/>
      <c r="S135" s="1690"/>
      <c r="T135" s="1690"/>
      <c r="U135" s="1690"/>
      <c r="V135" s="1691"/>
      <c r="W135" s="1709"/>
      <c r="X135" s="1710"/>
      <c r="Y135" s="1817"/>
    </row>
    <row r="136" spans="1:25">
      <c r="A136" s="1717"/>
      <c r="B136" s="1701"/>
      <c r="C136" s="1721"/>
      <c r="D136" s="1722"/>
      <c r="E136" s="1722"/>
      <c r="F136" s="1722"/>
      <c r="G136" s="1722"/>
      <c r="H136" s="1690"/>
      <c r="I136" s="1690"/>
      <c r="J136" s="1690"/>
      <c r="K136" s="1690"/>
      <c r="L136" s="1690"/>
      <c r="M136" s="1690"/>
      <c r="N136" s="1690"/>
      <c r="O136" s="1690"/>
      <c r="P136" s="1690"/>
      <c r="Q136" s="1690"/>
      <c r="R136" s="1690"/>
      <c r="S136" s="1690"/>
      <c r="T136" s="1690"/>
      <c r="U136" s="1690"/>
      <c r="V136" s="1691"/>
      <c r="W136" s="1709"/>
      <c r="X136" s="1710"/>
      <c r="Y136" s="1817"/>
    </row>
    <row r="137" spans="1:25">
      <c r="A137" s="1717"/>
      <c r="B137" s="1700" t="s">
        <v>450</v>
      </c>
      <c r="C137" s="1721"/>
      <c r="D137" s="1722"/>
      <c r="E137" s="1722"/>
      <c r="F137" s="1722"/>
      <c r="G137" s="1722"/>
      <c r="H137" s="1690"/>
      <c r="I137" s="1690"/>
      <c r="J137" s="1690"/>
      <c r="K137" s="1690"/>
      <c r="L137" s="1690"/>
      <c r="M137" s="1690"/>
      <c r="N137" s="1690"/>
      <c r="O137" s="1690"/>
      <c r="P137" s="1690"/>
      <c r="Q137" s="1690"/>
      <c r="R137" s="1690"/>
      <c r="S137" s="1690"/>
      <c r="T137" s="1690"/>
      <c r="U137" s="1690"/>
      <c r="V137" s="1691"/>
      <c r="W137" s="1709"/>
      <c r="X137" s="1710"/>
      <c r="Y137" s="1817"/>
    </row>
    <row r="138" spans="1:25">
      <c r="A138" s="1742"/>
      <c r="B138" s="1701"/>
      <c r="C138" s="1743"/>
      <c r="D138" s="1744"/>
      <c r="E138" s="1744"/>
      <c r="F138" s="1744"/>
      <c r="G138" s="1744"/>
      <c r="H138" s="1690"/>
      <c r="I138" s="1690"/>
      <c r="J138" s="1690"/>
      <c r="K138" s="1690"/>
      <c r="L138" s="1690"/>
      <c r="M138" s="1690"/>
      <c r="N138" s="1690"/>
      <c r="O138" s="1690"/>
      <c r="P138" s="1690"/>
      <c r="Q138" s="1690"/>
      <c r="R138" s="1690"/>
      <c r="S138" s="1690"/>
      <c r="T138" s="1690"/>
      <c r="U138" s="1690"/>
      <c r="V138" s="1691"/>
      <c r="W138" s="1709"/>
      <c r="X138" s="1710"/>
      <c r="Y138" s="1817"/>
    </row>
    <row r="139" spans="1:25">
      <c r="A139" s="1716"/>
      <c r="B139" s="1692" t="s">
        <v>446</v>
      </c>
      <c r="C139" s="1719"/>
      <c r="D139" s="1720"/>
      <c r="E139" s="1720"/>
      <c r="F139" s="1720"/>
      <c r="G139" s="1720"/>
      <c r="H139" s="1690"/>
      <c r="I139" s="1690"/>
      <c r="J139" s="1690"/>
      <c r="K139" s="1690"/>
      <c r="L139" s="1690"/>
      <c r="M139" s="1690"/>
      <c r="N139" s="1690"/>
      <c r="O139" s="1690"/>
      <c r="P139" s="1690"/>
      <c r="Q139" s="1690"/>
      <c r="R139" s="1690"/>
      <c r="S139" s="1690"/>
      <c r="T139" s="1690"/>
      <c r="U139" s="1690"/>
      <c r="V139" s="1691"/>
      <c r="W139" s="1709"/>
      <c r="X139" s="1710"/>
      <c r="Y139" s="1817"/>
    </row>
    <row r="140" spans="1:25">
      <c r="A140" s="1717"/>
      <c r="B140" s="1693"/>
      <c r="C140" s="1721"/>
      <c r="D140" s="1722"/>
      <c r="E140" s="1722"/>
      <c r="F140" s="1722"/>
      <c r="G140" s="1722"/>
      <c r="H140" s="1690"/>
      <c r="I140" s="1690"/>
      <c r="J140" s="1690"/>
      <c r="K140" s="1690"/>
      <c r="L140" s="1690"/>
      <c r="M140" s="1690"/>
      <c r="N140" s="1690"/>
      <c r="O140" s="1690"/>
      <c r="P140" s="1690"/>
      <c r="Q140" s="1690"/>
      <c r="R140" s="1690"/>
      <c r="S140" s="1690"/>
      <c r="T140" s="1690"/>
      <c r="U140" s="1690"/>
      <c r="V140" s="1691"/>
      <c r="W140" s="1709"/>
      <c r="X140" s="1710"/>
      <c r="Y140" s="1817"/>
    </row>
    <row r="141" spans="1:25">
      <c r="A141" s="1717"/>
      <c r="B141" s="1692" t="s">
        <v>448</v>
      </c>
      <c r="C141" s="1721"/>
      <c r="D141" s="1722"/>
      <c r="E141" s="1722"/>
      <c r="F141" s="1722"/>
      <c r="G141" s="1722"/>
      <c r="H141" s="1690"/>
      <c r="I141" s="1690"/>
      <c r="J141" s="1690"/>
      <c r="K141" s="1690"/>
      <c r="L141" s="1690"/>
      <c r="M141" s="1690"/>
      <c r="N141" s="1690"/>
      <c r="O141" s="1690"/>
      <c r="P141" s="1690"/>
      <c r="Q141" s="1690"/>
      <c r="R141" s="1690"/>
      <c r="S141" s="1690"/>
      <c r="T141" s="1690"/>
      <c r="U141" s="1690"/>
      <c r="V141" s="1691"/>
      <c r="W141" s="1709"/>
      <c r="X141" s="1710"/>
      <c r="Y141" s="1817"/>
    </row>
    <row r="142" spans="1:25" ht="14.25" thickBot="1">
      <c r="A142" s="1718"/>
      <c r="B142" s="1693"/>
      <c r="C142" s="1723"/>
      <c r="D142" s="1724"/>
      <c r="E142" s="1724"/>
      <c r="F142" s="1724"/>
      <c r="G142" s="1724"/>
      <c r="H142" s="1725"/>
      <c r="I142" s="1725"/>
      <c r="J142" s="1725"/>
      <c r="K142" s="1725"/>
      <c r="L142" s="1725"/>
      <c r="M142" s="1725"/>
      <c r="N142" s="1725"/>
      <c r="O142" s="1725"/>
      <c r="P142" s="1725"/>
      <c r="Q142" s="1725"/>
      <c r="R142" s="1725"/>
      <c r="S142" s="1725"/>
      <c r="T142" s="1725"/>
      <c r="U142" s="1725"/>
      <c r="V142" s="1726"/>
      <c r="W142" s="1709"/>
      <c r="X142" s="1710"/>
      <c r="Y142" s="1817"/>
    </row>
    <row r="143" spans="1:25">
      <c r="A143" s="1717"/>
      <c r="B143" s="1700" t="s">
        <v>130</v>
      </c>
      <c r="C143" s="1721"/>
      <c r="D143" s="1722"/>
      <c r="E143" s="1722"/>
      <c r="F143" s="1722"/>
      <c r="G143" s="1722"/>
      <c r="H143" s="1690"/>
      <c r="I143" s="1690"/>
      <c r="J143" s="1690"/>
      <c r="K143" s="1690"/>
      <c r="L143" s="1690"/>
      <c r="M143" s="1690"/>
      <c r="N143" s="1690"/>
      <c r="O143" s="1690"/>
      <c r="P143" s="1690"/>
      <c r="Q143" s="1690"/>
      <c r="R143" s="1690"/>
      <c r="S143" s="1690"/>
      <c r="T143" s="1690"/>
      <c r="U143" s="1690"/>
      <c r="V143" s="1691"/>
      <c r="W143" s="1709"/>
      <c r="X143" s="1710"/>
      <c r="Y143" s="1817"/>
    </row>
    <row r="144" spans="1:25">
      <c r="A144" s="1717"/>
      <c r="B144" s="1701"/>
      <c r="C144" s="1721"/>
      <c r="D144" s="1722"/>
      <c r="E144" s="1722"/>
      <c r="F144" s="1722"/>
      <c r="G144" s="1722"/>
      <c r="H144" s="1690"/>
      <c r="I144" s="1690"/>
      <c r="J144" s="1690"/>
      <c r="K144" s="1690"/>
      <c r="L144" s="1690"/>
      <c r="M144" s="1690"/>
      <c r="N144" s="1690"/>
      <c r="O144" s="1690"/>
      <c r="P144" s="1690"/>
      <c r="Q144" s="1690"/>
      <c r="R144" s="1690"/>
      <c r="S144" s="1690"/>
      <c r="T144" s="1690"/>
      <c r="U144" s="1690"/>
      <c r="V144" s="1691"/>
      <c r="W144" s="1709"/>
      <c r="X144" s="1710"/>
      <c r="Y144" s="1817"/>
    </row>
    <row r="145" spans="1:25">
      <c r="A145" s="1717"/>
      <c r="B145" s="1700" t="s">
        <v>450</v>
      </c>
      <c r="C145" s="1721"/>
      <c r="D145" s="1722"/>
      <c r="E145" s="1722"/>
      <c r="F145" s="1722"/>
      <c r="G145" s="1722"/>
      <c r="H145" s="1690"/>
      <c r="I145" s="1690"/>
      <c r="J145" s="1690"/>
      <c r="K145" s="1690"/>
      <c r="L145" s="1690"/>
      <c r="M145" s="1690"/>
      <c r="N145" s="1690"/>
      <c r="O145" s="1690"/>
      <c r="P145" s="1690"/>
      <c r="Q145" s="1690"/>
      <c r="R145" s="1690"/>
      <c r="S145" s="1690"/>
      <c r="T145" s="1690"/>
      <c r="U145" s="1690"/>
      <c r="V145" s="1691"/>
      <c r="W145" s="1709"/>
      <c r="X145" s="1710"/>
      <c r="Y145" s="1817"/>
    </row>
    <row r="146" spans="1:25">
      <c r="A146" s="1742"/>
      <c r="B146" s="1701"/>
      <c r="C146" s="1743"/>
      <c r="D146" s="1744"/>
      <c r="E146" s="1744"/>
      <c r="F146" s="1744"/>
      <c r="G146" s="1744"/>
      <c r="H146" s="1690"/>
      <c r="I146" s="1690"/>
      <c r="J146" s="1690"/>
      <c r="K146" s="1690"/>
      <c r="L146" s="1690"/>
      <c r="M146" s="1690"/>
      <c r="N146" s="1690"/>
      <c r="O146" s="1690"/>
      <c r="P146" s="1690"/>
      <c r="Q146" s="1690"/>
      <c r="R146" s="1690"/>
      <c r="S146" s="1690"/>
      <c r="T146" s="1690"/>
      <c r="U146" s="1690"/>
      <c r="V146" s="1691"/>
      <c r="W146" s="1709"/>
      <c r="X146" s="1710"/>
      <c r="Y146" s="1817"/>
    </row>
    <row r="147" spans="1:25">
      <c r="A147" s="1716"/>
      <c r="B147" s="1692" t="s">
        <v>446</v>
      </c>
      <c r="C147" s="1719"/>
      <c r="D147" s="1720"/>
      <c r="E147" s="1720"/>
      <c r="F147" s="1720"/>
      <c r="G147" s="1720"/>
      <c r="H147" s="1690"/>
      <c r="I147" s="1690"/>
      <c r="J147" s="1690"/>
      <c r="K147" s="1690"/>
      <c r="L147" s="1690"/>
      <c r="M147" s="1690"/>
      <c r="N147" s="1690"/>
      <c r="O147" s="1690"/>
      <c r="P147" s="1690"/>
      <c r="Q147" s="1690"/>
      <c r="R147" s="1690"/>
      <c r="S147" s="1690"/>
      <c r="T147" s="1690"/>
      <c r="U147" s="1690"/>
      <c r="V147" s="1691"/>
      <c r="W147" s="1709"/>
      <c r="X147" s="1710"/>
      <c r="Y147" s="1817"/>
    </row>
    <row r="148" spans="1:25">
      <c r="A148" s="1717"/>
      <c r="B148" s="1693"/>
      <c r="C148" s="1721"/>
      <c r="D148" s="1722"/>
      <c r="E148" s="1722"/>
      <c r="F148" s="1722"/>
      <c r="G148" s="1722"/>
      <c r="H148" s="1690"/>
      <c r="I148" s="1690"/>
      <c r="J148" s="1690"/>
      <c r="K148" s="1690"/>
      <c r="L148" s="1690"/>
      <c r="M148" s="1690"/>
      <c r="N148" s="1690"/>
      <c r="O148" s="1690"/>
      <c r="P148" s="1690"/>
      <c r="Q148" s="1690"/>
      <c r="R148" s="1690"/>
      <c r="S148" s="1690"/>
      <c r="T148" s="1690"/>
      <c r="U148" s="1690"/>
      <c r="V148" s="1691"/>
      <c r="W148" s="1709"/>
      <c r="X148" s="1710"/>
      <c r="Y148" s="1817"/>
    </row>
    <row r="149" spans="1:25">
      <c r="A149" s="1717"/>
      <c r="B149" s="1692" t="s">
        <v>448</v>
      </c>
      <c r="C149" s="1721"/>
      <c r="D149" s="1722"/>
      <c r="E149" s="1722"/>
      <c r="F149" s="1722"/>
      <c r="G149" s="1722"/>
      <c r="H149" s="1690"/>
      <c r="I149" s="1690"/>
      <c r="J149" s="1690"/>
      <c r="K149" s="1690"/>
      <c r="L149" s="1690"/>
      <c r="M149" s="1690"/>
      <c r="N149" s="1690"/>
      <c r="O149" s="1690"/>
      <c r="P149" s="1690"/>
      <c r="Q149" s="1690"/>
      <c r="R149" s="1690"/>
      <c r="S149" s="1690"/>
      <c r="T149" s="1690"/>
      <c r="U149" s="1690"/>
      <c r="V149" s="1691"/>
      <c r="W149" s="1709"/>
      <c r="X149" s="1710"/>
      <c r="Y149" s="1817"/>
    </row>
    <row r="150" spans="1:25">
      <c r="A150" s="1717"/>
      <c r="B150" s="1693"/>
      <c r="C150" s="1721"/>
      <c r="D150" s="1722"/>
      <c r="E150" s="1722"/>
      <c r="F150" s="1722"/>
      <c r="G150" s="1722"/>
      <c r="H150" s="1690"/>
      <c r="I150" s="1690"/>
      <c r="J150" s="1690"/>
      <c r="K150" s="1690"/>
      <c r="L150" s="1690"/>
      <c r="M150" s="1690"/>
      <c r="N150" s="1690"/>
      <c r="O150" s="1690"/>
      <c r="P150" s="1690"/>
      <c r="Q150" s="1690"/>
      <c r="R150" s="1690"/>
      <c r="S150" s="1690"/>
      <c r="T150" s="1690"/>
      <c r="U150" s="1690"/>
      <c r="V150" s="1691"/>
      <c r="W150" s="1709"/>
      <c r="X150" s="1710"/>
      <c r="Y150" s="1817"/>
    </row>
    <row r="151" spans="1:25">
      <c r="A151" s="1717"/>
      <c r="B151" s="1700" t="s">
        <v>130</v>
      </c>
      <c r="C151" s="1721"/>
      <c r="D151" s="1722"/>
      <c r="E151" s="1722"/>
      <c r="F151" s="1722"/>
      <c r="G151" s="1722"/>
      <c r="H151" s="1690"/>
      <c r="I151" s="1690"/>
      <c r="J151" s="1690"/>
      <c r="K151" s="1690"/>
      <c r="L151" s="1690"/>
      <c r="M151" s="1690"/>
      <c r="N151" s="1690"/>
      <c r="O151" s="1690"/>
      <c r="P151" s="1690"/>
      <c r="Q151" s="1690"/>
      <c r="R151" s="1690"/>
      <c r="S151" s="1690"/>
      <c r="T151" s="1690"/>
      <c r="U151" s="1690"/>
      <c r="V151" s="1691"/>
      <c r="W151" s="1709"/>
      <c r="X151" s="1710"/>
      <c r="Y151" s="1817"/>
    </row>
    <row r="152" spans="1:25">
      <c r="A152" s="1717"/>
      <c r="B152" s="1701"/>
      <c r="C152" s="1721"/>
      <c r="D152" s="1722"/>
      <c r="E152" s="1722"/>
      <c r="F152" s="1722"/>
      <c r="G152" s="1722"/>
      <c r="H152" s="1690"/>
      <c r="I152" s="1690"/>
      <c r="J152" s="1690"/>
      <c r="K152" s="1690"/>
      <c r="L152" s="1690"/>
      <c r="M152" s="1690"/>
      <c r="N152" s="1690"/>
      <c r="O152" s="1690"/>
      <c r="P152" s="1690"/>
      <c r="Q152" s="1690"/>
      <c r="R152" s="1690"/>
      <c r="S152" s="1690"/>
      <c r="T152" s="1690"/>
      <c r="U152" s="1690"/>
      <c r="V152" s="1691"/>
      <c r="W152" s="1709"/>
      <c r="X152" s="1710"/>
      <c r="Y152" s="1817"/>
    </row>
    <row r="153" spans="1:25">
      <c r="A153" s="1717"/>
      <c r="B153" s="1700" t="s">
        <v>450</v>
      </c>
      <c r="C153" s="1721"/>
      <c r="D153" s="1722"/>
      <c r="E153" s="1722"/>
      <c r="F153" s="1722"/>
      <c r="G153" s="1722"/>
      <c r="H153" s="1690"/>
      <c r="I153" s="1690"/>
      <c r="J153" s="1690"/>
      <c r="K153" s="1690"/>
      <c r="L153" s="1690"/>
      <c r="M153" s="1690"/>
      <c r="N153" s="1690"/>
      <c r="O153" s="1690"/>
      <c r="P153" s="1690"/>
      <c r="Q153" s="1690"/>
      <c r="R153" s="1690"/>
      <c r="S153" s="1690"/>
      <c r="T153" s="1690"/>
      <c r="U153" s="1690"/>
      <c r="V153" s="1691"/>
      <c r="W153" s="1709"/>
      <c r="X153" s="1710"/>
      <c r="Y153" s="1817"/>
    </row>
    <row r="154" spans="1:25">
      <c r="A154" s="1742"/>
      <c r="B154" s="1701"/>
      <c r="C154" s="1743"/>
      <c r="D154" s="1744"/>
      <c r="E154" s="1744"/>
      <c r="F154" s="1744"/>
      <c r="G154" s="1744"/>
      <c r="H154" s="1690"/>
      <c r="I154" s="1690"/>
      <c r="J154" s="1690"/>
      <c r="K154" s="1690"/>
      <c r="L154" s="1690"/>
      <c r="M154" s="1690"/>
      <c r="N154" s="1690"/>
      <c r="O154" s="1690"/>
      <c r="P154" s="1690"/>
      <c r="Q154" s="1690"/>
      <c r="R154" s="1690"/>
      <c r="S154" s="1690"/>
      <c r="T154" s="1690"/>
      <c r="U154" s="1690"/>
      <c r="V154" s="1691"/>
      <c r="W154" s="1709"/>
      <c r="X154" s="1710"/>
      <c r="Y154" s="1817"/>
    </row>
    <row r="155" spans="1:25">
      <c r="A155" s="1716"/>
      <c r="B155" s="1692" t="s">
        <v>446</v>
      </c>
      <c r="C155" s="1719"/>
      <c r="D155" s="1720"/>
      <c r="E155" s="1720"/>
      <c r="F155" s="1720"/>
      <c r="G155" s="1720"/>
      <c r="H155" s="1690"/>
      <c r="I155" s="1690"/>
      <c r="J155" s="1690"/>
      <c r="K155" s="1690"/>
      <c r="L155" s="1690"/>
      <c r="M155" s="1690"/>
      <c r="N155" s="1690"/>
      <c r="O155" s="1690"/>
      <c r="P155" s="1690"/>
      <c r="Q155" s="1690"/>
      <c r="R155" s="1690"/>
      <c r="S155" s="1690"/>
      <c r="T155" s="1690"/>
      <c r="U155" s="1690"/>
      <c r="V155" s="1691"/>
      <c r="W155" s="1709"/>
      <c r="X155" s="1710"/>
      <c r="Y155" s="1817"/>
    </row>
    <row r="156" spans="1:25">
      <c r="A156" s="1717"/>
      <c r="B156" s="1693"/>
      <c r="C156" s="1721"/>
      <c r="D156" s="1722"/>
      <c r="E156" s="1722"/>
      <c r="F156" s="1722"/>
      <c r="G156" s="1722"/>
      <c r="H156" s="1690"/>
      <c r="I156" s="1690"/>
      <c r="J156" s="1690"/>
      <c r="K156" s="1690"/>
      <c r="L156" s="1690"/>
      <c r="M156" s="1690"/>
      <c r="N156" s="1690"/>
      <c r="O156" s="1690"/>
      <c r="P156" s="1690"/>
      <c r="Q156" s="1690"/>
      <c r="R156" s="1690"/>
      <c r="S156" s="1690"/>
      <c r="T156" s="1690"/>
      <c r="U156" s="1690"/>
      <c r="V156" s="1691"/>
      <c r="W156" s="1709"/>
      <c r="X156" s="1710"/>
      <c r="Y156" s="1817"/>
    </row>
    <row r="157" spans="1:25">
      <c r="A157" s="1717"/>
      <c r="B157" s="1692" t="s">
        <v>448</v>
      </c>
      <c r="C157" s="1721"/>
      <c r="D157" s="1722"/>
      <c r="E157" s="1722"/>
      <c r="F157" s="1722"/>
      <c r="G157" s="1722"/>
      <c r="H157" s="1690"/>
      <c r="I157" s="1690"/>
      <c r="J157" s="1690"/>
      <c r="K157" s="1690"/>
      <c r="L157" s="1690"/>
      <c r="M157" s="1690"/>
      <c r="N157" s="1690"/>
      <c r="O157" s="1690"/>
      <c r="P157" s="1690"/>
      <c r="Q157" s="1690"/>
      <c r="R157" s="1690"/>
      <c r="S157" s="1690"/>
      <c r="T157" s="1690"/>
      <c r="U157" s="1690"/>
      <c r="V157" s="1691"/>
      <c r="W157" s="1709"/>
      <c r="X157" s="1710"/>
      <c r="Y157" s="1817"/>
    </row>
    <row r="158" spans="1:25">
      <c r="A158" s="1717"/>
      <c r="B158" s="1693"/>
      <c r="C158" s="1721"/>
      <c r="D158" s="1722"/>
      <c r="E158" s="1722"/>
      <c r="F158" s="1722"/>
      <c r="G158" s="1722"/>
      <c r="H158" s="1690"/>
      <c r="I158" s="1690"/>
      <c r="J158" s="1690"/>
      <c r="K158" s="1690"/>
      <c r="L158" s="1690"/>
      <c r="M158" s="1690"/>
      <c r="N158" s="1690"/>
      <c r="O158" s="1690"/>
      <c r="P158" s="1690"/>
      <c r="Q158" s="1690"/>
      <c r="R158" s="1690"/>
      <c r="S158" s="1690"/>
      <c r="T158" s="1690"/>
      <c r="U158" s="1690"/>
      <c r="V158" s="1691"/>
      <c r="W158" s="1709"/>
      <c r="X158" s="1710"/>
      <c r="Y158" s="1817"/>
    </row>
    <row r="159" spans="1:25">
      <c r="A159" s="1717"/>
      <c r="B159" s="1700" t="s">
        <v>130</v>
      </c>
      <c r="C159" s="1721"/>
      <c r="D159" s="1722"/>
      <c r="E159" s="1722"/>
      <c r="F159" s="1722"/>
      <c r="G159" s="1722"/>
      <c r="H159" s="1690"/>
      <c r="I159" s="1690"/>
      <c r="J159" s="1690"/>
      <c r="K159" s="1690"/>
      <c r="L159" s="1690"/>
      <c r="M159" s="1690"/>
      <c r="N159" s="1690"/>
      <c r="O159" s="1690"/>
      <c r="P159" s="1690"/>
      <c r="Q159" s="1690"/>
      <c r="R159" s="1690"/>
      <c r="S159" s="1690"/>
      <c r="T159" s="1690"/>
      <c r="U159" s="1690"/>
      <c r="V159" s="1691"/>
      <c r="W159" s="1709"/>
      <c r="X159" s="1710"/>
      <c r="Y159" s="1817"/>
    </row>
    <row r="160" spans="1:25">
      <c r="A160" s="1717"/>
      <c r="B160" s="1701"/>
      <c r="C160" s="1721"/>
      <c r="D160" s="1722"/>
      <c r="E160" s="1722"/>
      <c r="F160" s="1722"/>
      <c r="G160" s="1722"/>
      <c r="H160" s="1690"/>
      <c r="I160" s="1690"/>
      <c r="J160" s="1690"/>
      <c r="K160" s="1690"/>
      <c r="L160" s="1690"/>
      <c r="M160" s="1690"/>
      <c r="N160" s="1690"/>
      <c r="O160" s="1690"/>
      <c r="P160" s="1690"/>
      <c r="Q160" s="1690"/>
      <c r="R160" s="1690"/>
      <c r="S160" s="1690"/>
      <c r="T160" s="1690"/>
      <c r="U160" s="1690"/>
      <c r="V160" s="1691"/>
      <c r="W160" s="1709"/>
      <c r="X160" s="1710"/>
      <c r="Y160" s="1817"/>
    </row>
    <row r="161" spans="1:25">
      <c r="A161" s="1717"/>
      <c r="B161" s="1700" t="s">
        <v>450</v>
      </c>
      <c r="C161" s="1721"/>
      <c r="D161" s="1722"/>
      <c r="E161" s="1722"/>
      <c r="F161" s="1722"/>
      <c r="G161" s="1722"/>
      <c r="H161" s="1690"/>
      <c r="I161" s="1690"/>
      <c r="J161" s="1690"/>
      <c r="K161" s="1690"/>
      <c r="L161" s="1690"/>
      <c r="M161" s="1690"/>
      <c r="N161" s="1690"/>
      <c r="O161" s="1690"/>
      <c r="P161" s="1690"/>
      <c r="Q161" s="1690"/>
      <c r="R161" s="1690"/>
      <c r="S161" s="1690"/>
      <c r="T161" s="1690"/>
      <c r="U161" s="1690"/>
      <c r="V161" s="1691"/>
      <c r="W161" s="1709"/>
      <c r="X161" s="1710"/>
      <c r="Y161" s="1817"/>
    </row>
    <row r="162" spans="1:25" ht="14.25" thickBot="1">
      <c r="A162" s="1718"/>
      <c r="B162" s="1707"/>
      <c r="C162" s="1723"/>
      <c r="D162" s="1724"/>
      <c r="E162" s="1724"/>
      <c r="F162" s="1724"/>
      <c r="G162" s="1724"/>
      <c r="H162" s="1725"/>
      <c r="I162" s="1725"/>
      <c r="J162" s="1725"/>
      <c r="K162" s="1725"/>
      <c r="L162" s="1725"/>
      <c r="M162" s="1725"/>
      <c r="N162" s="1725"/>
      <c r="O162" s="1725"/>
      <c r="P162" s="1725"/>
      <c r="Q162" s="1725"/>
      <c r="R162" s="1725"/>
      <c r="S162" s="1725"/>
      <c r="T162" s="1725"/>
      <c r="U162" s="1725"/>
      <c r="V162" s="1726"/>
      <c r="W162" s="1711"/>
      <c r="X162" s="1712"/>
      <c r="Y162" s="1817"/>
    </row>
    <row r="163" spans="1:25" ht="14.25" thickBot="1">
      <c r="A163" s="509"/>
      <c r="B163" s="868"/>
      <c r="C163" s="1563" t="s">
        <v>156</v>
      </c>
      <c r="D163" s="1563"/>
      <c r="E163" s="1563"/>
      <c r="F163" s="1563"/>
      <c r="G163" s="1563"/>
      <c r="H163" s="1563"/>
      <c r="I163" s="1563"/>
      <c r="J163" s="1563"/>
      <c r="K163" s="1563"/>
      <c r="L163" s="1563"/>
      <c r="M163" s="1563"/>
      <c r="N163" s="1563"/>
      <c r="O163" s="1563"/>
      <c r="P163" s="1563"/>
      <c r="Q163" s="1563"/>
      <c r="R163" s="1563"/>
      <c r="S163" s="1563"/>
      <c r="T163" s="1563"/>
      <c r="U163" s="1563"/>
      <c r="V163" s="1563"/>
      <c r="W163" s="1563"/>
      <c r="X163" s="1563"/>
      <c r="Y163" s="1817"/>
    </row>
    <row r="164" spans="1:25" ht="14.25" thickTop="1">
      <c r="A164" s="509"/>
      <c r="B164" s="509"/>
      <c r="C164" s="1663" t="s">
        <v>157</v>
      </c>
      <c r="D164" s="1664"/>
      <c r="E164" s="1664"/>
      <c r="F164" s="1664"/>
      <c r="G164" s="1664"/>
      <c r="H164" s="1667"/>
      <c r="I164" s="1668"/>
      <c r="J164" s="1668"/>
      <c r="K164" s="1668"/>
      <c r="L164" s="1669"/>
      <c r="M164" s="509"/>
      <c r="N164" s="509"/>
      <c r="O164" s="509"/>
      <c r="P164" s="509"/>
      <c r="Q164" s="1661" t="s">
        <v>158</v>
      </c>
      <c r="R164" s="1661"/>
      <c r="S164" s="1661"/>
      <c r="T164" s="1673"/>
      <c r="U164" s="1673"/>
      <c r="V164" s="1673"/>
      <c r="W164" s="1674" t="s">
        <v>125</v>
      </c>
      <c r="X164" s="1673"/>
      <c r="Y164" s="1817"/>
    </row>
    <row r="165" spans="1:25" ht="14.25" thickBot="1">
      <c r="A165" s="509"/>
      <c r="B165" s="509"/>
      <c r="C165" s="1665"/>
      <c r="D165" s="1666"/>
      <c r="E165" s="1666"/>
      <c r="F165" s="1666"/>
      <c r="G165" s="1666"/>
      <c r="H165" s="1670"/>
      <c r="I165" s="1671"/>
      <c r="J165" s="1671"/>
      <c r="K165" s="1671"/>
      <c r="L165" s="1672"/>
      <c r="M165" s="509"/>
      <c r="N165" s="509"/>
      <c r="O165" s="509"/>
      <c r="P165" s="509"/>
      <c r="Q165" s="1661"/>
      <c r="R165" s="1661"/>
      <c r="S165" s="1661"/>
      <c r="T165" s="1673"/>
      <c r="U165" s="1673"/>
      <c r="V165" s="1673"/>
      <c r="W165" s="1674"/>
      <c r="X165" s="1673"/>
      <c r="Y165" s="1817"/>
    </row>
    <row r="166" spans="1:25" ht="24" thickTop="1">
      <c r="A166" s="1320" t="s">
        <v>123</v>
      </c>
      <c r="B166" s="1320"/>
      <c r="C166" s="1320"/>
      <c r="D166" s="1320"/>
      <c r="E166" s="1320"/>
      <c r="F166" s="1320"/>
      <c r="G166" s="1320"/>
      <c r="H166" s="1320"/>
      <c r="I166" s="1320"/>
      <c r="J166" s="1320"/>
      <c r="K166" s="1320"/>
      <c r="L166" s="1320"/>
      <c r="M166" s="1320"/>
      <c r="N166" s="1320"/>
      <c r="O166" s="1320"/>
      <c r="P166" s="1320"/>
      <c r="Q166" s="1320"/>
      <c r="R166" s="1320"/>
      <c r="S166" s="1320"/>
      <c r="T166" s="1320"/>
      <c r="U166" s="1320"/>
      <c r="V166" s="1320"/>
      <c r="W166" s="1320"/>
      <c r="X166" s="1320"/>
      <c r="Y166" s="1817"/>
    </row>
    <row r="167" spans="1:25">
      <c r="A167" s="492"/>
      <c r="B167" s="492"/>
      <c r="C167" s="492"/>
      <c r="D167" s="492"/>
      <c r="E167" s="492"/>
      <c r="F167" s="492"/>
      <c r="G167" s="492"/>
      <c r="H167" s="492"/>
      <c r="I167" s="492"/>
      <c r="J167" s="492"/>
      <c r="K167" s="492"/>
      <c r="L167" s="492"/>
      <c r="M167" s="492"/>
      <c r="N167" s="492"/>
      <c r="O167" s="492"/>
      <c r="P167" s="492"/>
      <c r="Q167" s="492"/>
      <c r="R167" s="492"/>
      <c r="S167" s="492"/>
      <c r="T167" s="492"/>
      <c r="U167" s="452" t="s">
        <v>88</v>
      </c>
      <c r="V167" s="493">
        <v>4</v>
      </c>
      <c r="W167" s="865" t="s">
        <v>125</v>
      </c>
      <c r="X167" s="495"/>
      <c r="Y167" s="1817"/>
    </row>
    <row r="168" spans="1:25" ht="14.25" thickBot="1">
      <c r="A168" s="1870" t="s">
        <v>127</v>
      </c>
      <c r="B168" s="1821"/>
      <c r="C168" s="1872" t="s">
        <v>451</v>
      </c>
      <c r="D168" s="1872"/>
      <c r="E168" s="1872"/>
      <c r="F168" s="1872"/>
      <c r="G168" s="1872"/>
      <c r="H168" s="1872"/>
      <c r="I168" s="1872"/>
      <c r="J168" s="1872"/>
      <c r="K168" s="1872"/>
      <c r="L168" s="1872"/>
      <c r="M168" s="1872"/>
      <c r="N168" s="1872"/>
      <c r="O168" s="1855"/>
      <c r="P168" s="1855"/>
      <c r="Q168" s="1855"/>
      <c r="R168" s="1855"/>
      <c r="S168" s="1855"/>
      <c r="T168" s="1855"/>
      <c r="U168" s="452"/>
      <c r="V168" s="452"/>
      <c r="W168" s="452"/>
      <c r="X168" s="452"/>
      <c r="Y168" s="1817"/>
    </row>
    <row r="169" spans="1:25" ht="14.25" thickBot="1">
      <c r="A169" s="1871"/>
      <c r="B169" s="1827"/>
      <c r="C169" s="1849" t="s">
        <v>128</v>
      </c>
      <c r="D169" s="1850"/>
      <c r="E169" s="1850"/>
      <c r="F169" s="1850" t="s">
        <v>129</v>
      </c>
      <c r="G169" s="1850"/>
      <c r="H169" s="1850"/>
      <c r="I169" s="1850" t="s">
        <v>130</v>
      </c>
      <c r="J169" s="1850"/>
      <c r="K169" s="1850"/>
      <c r="L169" s="1850" t="s">
        <v>131</v>
      </c>
      <c r="M169" s="1850"/>
      <c r="N169" s="1876"/>
      <c r="O169" s="1844" t="s">
        <v>132</v>
      </c>
      <c r="P169" s="1843"/>
      <c r="Q169" s="1842" t="s">
        <v>133</v>
      </c>
      <c r="R169" s="1843"/>
      <c r="S169" s="1842" t="s">
        <v>134</v>
      </c>
      <c r="T169" s="1843"/>
      <c r="U169" s="452"/>
      <c r="V169" s="1845" t="s">
        <v>135</v>
      </c>
      <c r="W169" s="1848"/>
      <c r="X169" s="1848"/>
      <c r="Y169" s="1817"/>
    </row>
    <row r="170" spans="1:25" ht="14.25" thickBot="1">
      <c r="A170" s="1848" t="s">
        <v>136</v>
      </c>
      <c r="B170" s="1848"/>
      <c r="C170" s="1859" t="s">
        <v>137</v>
      </c>
      <c r="D170" s="1859"/>
      <c r="E170" s="1859"/>
      <c r="F170" s="1859"/>
      <c r="G170" s="1859"/>
      <c r="H170" s="1859"/>
      <c r="I170" s="1859"/>
      <c r="J170" s="1859"/>
      <c r="K170" s="1859"/>
      <c r="L170" s="1859" t="s">
        <v>138</v>
      </c>
      <c r="M170" s="1859"/>
      <c r="N170" s="1859"/>
      <c r="O170" s="1860" t="s">
        <v>2949</v>
      </c>
      <c r="P170" s="1861"/>
      <c r="Q170" s="1861"/>
      <c r="R170" s="1861"/>
      <c r="S170" s="1861"/>
      <c r="T170" s="1862"/>
      <c r="U170" s="496"/>
      <c r="V170" s="1846"/>
      <c r="W170" s="1848"/>
      <c r="X170" s="1848"/>
      <c r="Y170" s="1817"/>
    </row>
    <row r="171" spans="1:25" ht="14.25" thickBot="1">
      <c r="A171" s="1828" t="s">
        <v>140</v>
      </c>
      <c r="B171" s="1828"/>
      <c r="C171" s="1830" t="s">
        <v>141</v>
      </c>
      <c r="D171" s="1831"/>
      <c r="E171" s="1831"/>
      <c r="F171" s="1831"/>
      <c r="G171" s="1831"/>
      <c r="H171" s="1831"/>
      <c r="I171" s="1831"/>
      <c r="J171" s="1831"/>
      <c r="K171" s="1831"/>
      <c r="L171" s="1831"/>
      <c r="M171" s="1831"/>
      <c r="N171" s="1832"/>
      <c r="O171" s="1863"/>
      <c r="P171" s="1863"/>
      <c r="Q171" s="1863"/>
      <c r="R171" s="1863"/>
      <c r="S171" s="1863"/>
      <c r="T171" s="1864"/>
      <c r="U171" s="497"/>
      <c r="V171" s="1846"/>
      <c r="W171" s="1848"/>
      <c r="X171" s="1848"/>
      <c r="Y171" s="1817"/>
    </row>
    <row r="172" spans="1:25">
      <c r="A172" s="1829"/>
      <c r="B172" s="1829"/>
      <c r="C172" s="1830"/>
      <c r="D172" s="1831"/>
      <c r="E172" s="1831"/>
      <c r="F172" s="1831"/>
      <c r="G172" s="1831"/>
      <c r="H172" s="1831"/>
      <c r="I172" s="1831"/>
      <c r="J172" s="1831"/>
      <c r="K172" s="1831"/>
      <c r="L172" s="1831"/>
      <c r="M172" s="1831"/>
      <c r="N172" s="1832"/>
      <c r="O172" s="1865"/>
      <c r="P172" s="1865"/>
      <c r="Q172" s="1865"/>
      <c r="R172" s="1865"/>
      <c r="S172" s="1865"/>
      <c r="T172" s="1866"/>
      <c r="U172" s="496"/>
      <c r="V172" s="1846"/>
      <c r="W172" s="1848"/>
      <c r="X172" s="1848"/>
      <c r="Y172" s="1817"/>
    </row>
    <row r="173" spans="1:25">
      <c r="A173" s="1828"/>
      <c r="B173" s="1828"/>
      <c r="C173" s="1833"/>
      <c r="D173" s="1834"/>
      <c r="E173" s="1834"/>
      <c r="F173" s="1834"/>
      <c r="G173" s="1834"/>
      <c r="H173" s="1834"/>
      <c r="I173" s="1834"/>
      <c r="J173" s="1834"/>
      <c r="K173" s="1834"/>
      <c r="L173" s="1834"/>
      <c r="M173" s="1834"/>
      <c r="N173" s="1835"/>
      <c r="O173" s="1863"/>
      <c r="P173" s="1863"/>
      <c r="Q173" s="1863"/>
      <c r="R173" s="1863"/>
      <c r="S173" s="1863"/>
      <c r="T173" s="1864"/>
      <c r="U173" s="496"/>
      <c r="V173" s="1846"/>
      <c r="W173" s="1848"/>
      <c r="X173" s="1848"/>
      <c r="Y173" s="1817"/>
    </row>
    <row r="174" spans="1:25" ht="14.25" thickBot="1">
      <c r="A174" s="1828"/>
      <c r="B174" s="1828"/>
      <c r="C174" s="1836"/>
      <c r="D174" s="1837"/>
      <c r="E174" s="1837"/>
      <c r="F174" s="1837"/>
      <c r="G174" s="1837"/>
      <c r="H174" s="1837"/>
      <c r="I174" s="1837"/>
      <c r="J174" s="1837"/>
      <c r="K174" s="1837"/>
      <c r="L174" s="1837"/>
      <c r="M174" s="1837"/>
      <c r="N174" s="1838"/>
      <c r="O174" s="1867"/>
      <c r="P174" s="1867"/>
      <c r="Q174" s="1867"/>
      <c r="R174" s="1867"/>
      <c r="S174" s="1867"/>
      <c r="T174" s="1868"/>
      <c r="U174" s="496"/>
      <c r="V174" s="1847"/>
      <c r="W174" s="1848"/>
      <c r="X174" s="1848"/>
      <c r="Y174" s="1817"/>
    </row>
    <row r="175" spans="1:25">
      <c r="A175" s="1822" t="s">
        <v>142</v>
      </c>
      <c r="B175" s="1822"/>
      <c r="C175" s="1822"/>
      <c r="D175" s="1822"/>
      <c r="E175" s="1822"/>
      <c r="F175" s="1822"/>
      <c r="G175" s="1822"/>
      <c r="H175" s="1822"/>
      <c r="I175" s="1822"/>
      <c r="J175" s="1822"/>
      <c r="K175" s="1822"/>
      <c r="L175" s="1822"/>
      <c r="M175" s="1822"/>
      <c r="N175" s="1822"/>
      <c r="O175" s="1822"/>
      <c r="P175" s="1822"/>
      <c r="Q175" s="1822"/>
      <c r="R175" s="1822"/>
      <c r="S175" s="1822"/>
      <c r="T175" s="1822"/>
      <c r="U175" s="452"/>
      <c r="V175" s="452"/>
      <c r="W175" s="452"/>
      <c r="X175" s="452"/>
      <c r="Y175" s="1817"/>
    </row>
    <row r="176" spans="1:25" ht="27" customHeight="1">
      <c r="A176" s="1189" t="s">
        <v>87</v>
      </c>
      <c r="B176" s="1189"/>
      <c r="C176" s="1824">
        <f>'01 使用承認申請書'!D169</f>
        <v>0</v>
      </c>
      <c r="D176" s="1824"/>
      <c r="E176" s="1824"/>
      <c r="F176" s="1824"/>
      <c r="G176" s="1824"/>
      <c r="H176" s="1824"/>
      <c r="I176" s="1824"/>
      <c r="J176" s="1824"/>
      <c r="K176" s="1824"/>
      <c r="L176" s="1824"/>
      <c r="M176" s="1824"/>
      <c r="N176" s="1824"/>
      <c r="O176" s="1824"/>
      <c r="P176" s="1824"/>
      <c r="Q176" s="1824"/>
      <c r="R176" s="1824"/>
      <c r="S176" s="498"/>
      <c r="T176" s="499"/>
      <c r="U176" s="499"/>
      <c r="V176" s="499"/>
      <c r="W176" s="452"/>
      <c r="X176" s="500"/>
      <c r="Y176" s="1817"/>
    </row>
    <row r="177" spans="1:25">
      <c r="A177" s="1826" t="s">
        <v>86</v>
      </c>
      <c r="B177" s="1826"/>
      <c r="C177" s="1818" t="str">
        <f>CONCATENATE('01 使用承認申請書'!B177)</f>
        <v/>
      </c>
      <c r="D177" s="1827" t="s">
        <v>18</v>
      </c>
      <c r="E177" s="1818" t="str">
        <f>CONCATENATE('01 使用承認申請書'!C179)</f>
        <v/>
      </c>
      <c r="F177" s="1821" t="s">
        <v>17</v>
      </c>
      <c r="G177" s="1818" t="str">
        <f>CONCATENATE('01 使用承認申請書'!F179)</f>
        <v/>
      </c>
      <c r="H177" s="1821" t="s">
        <v>16</v>
      </c>
      <c r="I177" s="1821" t="s">
        <v>43</v>
      </c>
      <c r="J177" s="1818" t="str">
        <f>CONCATENATE('01 使用承認申請書'!J179)</f>
        <v/>
      </c>
      <c r="K177" s="1821" t="s">
        <v>42</v>
      </c>
      <c r="L177" s="1821" t="s">
        <v>40</v>
      </c>
      <c r="M177" s="1818" t="str">
        <f>CONCATENATE('01 使用承認申請書'!C181)</f>
        <v/>
      </c>
      <c r="N177" s="1821" t="s">
        <v>17</v>
      </c>
      <c r="O177" s="1818" t="str">
        <f>CONCATENATE('01 使用承認申請書'!F181)</f>
        <v/>
      </c>
      <c r="P177" s="1821" t="s">
        <v>16</v>
      </c>
      <c r="Q177" s="1821" t="s">
        <v>43</v>
      </c>
      <c r="R177" s="1818" t="str">
        <f>CONCATENATE('01 使用承認申請書'!J181)</f>
        <v/>
      </c>
      <c r="S177" s="1827" t="s">
        <v>42</v>
      </c>
      <c r="T177" s="867"/>
      <c r="U177" s="502" t="str">
        <f>CONCATENATE('01 使用承認申請書'!L178)</f>
        <v/>
      </c>
      <c r="V177" s="452" t="s">
        <v>51</v>
      </c>
      <c r="W177" s="502" t="str">
        <f>CONCATENATE('01 使用承認申請書'!Q178)</f>
        <v/>
      </c>
      <c r="X177" s="452" t="s">
        <v>16</v>
      </c>
      <c r="Y177" s="1817"/>
    </row>
    <row r="178" spans="1:25">
      <c r="A178" s="1189"/>
      <c r="B178" s="1189"/>
      <c r="C178" s="1819"/>
      <c r="D178" s="1820"/>
      <c r="E178" s="1819"/>
      <c r="F178" s="1820"/>
      <c r="G178" s="1819"/>
      <c r="H178" s="1820"/>
      <c r="I178" s="1820"/>
      <c r="J178" s="1819"/>
      <c r="K178" s="1820"/>
      <c r="L178" s="1820"/>
      <c r="M178" s="1819"/>
      <c r="N178" s="1820"/>
      <c r="O178" s="1819"/>
      <c r="P178" s="1820"/>
      <c r="Q178" s="1820"/>
      <c r="R178" s="1819"/>
      <c r="S178" s="1820"/>
      <c r="T178" s="865"/>
      <c r="U178" s="1820" t="s">
        <v>52</v>
      </c>
      <c r="V178" s="1820"/>
      <c r="W178" s="866" t="str">
        <f>CONCATENATE('01 使用承認申請書'!V178)</f>
        <v/>
      </c>
      <c r="X178" s="504" t="s">
        <v>16</v>
      </c>
      <c r="Y178" s="1817"/>
    </row>
    <row r="179" spans="1:25" ht="16.5">
      <c r="A179" s="871"/>
      <c r="B179" s="871"/>
      <c r="C179" s="869"/>
      <c r="D179" s="869"/>
      <c r="E179" s="869"/>
      <c r="F179" s="869"/>
      <c r="G179" s="869"/>
      <c r="H179" s="869"/>
      <c r="I179" s="869"/>
      <c r="J179" s="869"/>
      <c r="K179" s="869"/>
      <c r="L179" s="869"/>
      <c r="M179" s="869"/>
      <c r="N179" s="869"/>
      <c r="O179" s="869"/>
      <c r="P179" s="869"/>
      <c r="Q179" s="869"/>
      <c r="R179" s="869"/>
      <c r="S179" s="507"/>
      <c r="T179" s="869"/>
      <c r="U179" s="508"/>
      <c r="V179" s="508"/>
      <c r="W179" s="508"/>
      <c r="X179" s="508"/>
      <c r="Y179" s="1817"/>
    </row>
    <row r="180" spans="1:25" ht="14.25" thickBot="1">
      <c r="A180" s="1839" t="s">
        <v>2927</v>
      </c>
      <c r="B180" s="1839"/>
      <c r="C180" s="1839"/>
      <c r="D180" s="1839"/>
      <c r="E180" s="1839"/>
      <c r="F180" s="1839"/>
      <c r="G180" s="1839"/>
      <c r="H180" s="1839"/>
      <c r="I180" s="1839"/>
      <c r="J180" s="1839"/>
      <c r="K180" s="1839"/>
      <c r="L180" s="1839"/>
      <c r="M180" s="1839"/>
      <c r="N180" s="1839"/>
      <c r="O180" s="1839"/>
      <c r="P180" s="1839"/>
      <c r="Q180" s="1839"/>
      <c r="R180" s="1839"/>
      <c r="S180" s="1839"/>
      <c r="T180" s="1839"/>
      <c r="U180" s="1839"/>
      <c r="V180" s="1839"/>
      <c r="W180" s="1839"/>
      <c r="X180" s="1839"/>
      <c r="Y180" s="1817"/>
    </row>
    <row r="181" spans="1:25" ht="32.450000000000003" customHeight="1" thickBot="1">
      <c r="A181" s="1799" t="s">
        <v>144</v>
      </c>
      <c r="B181" s="1776" t="s">
        <v>2963</v>
      </c>
      <c r="C181" s="1783" t="s">
        <v>2962</v>
      </c>
      <c r="D181" s="1781"/>
      <c r="E181" s="1781"/>
      <c r="F181" s="1781"/>
      <c r="G181" s="1782"/>
      <c r="H181" s="1780" t="s">
        <v>2961</v>
      </c>
      <c r="I181" s="1781"/>
      <c r="J181" s="1781"/>
      <c r="K181" s="1781"/>
      <c r="L181" s="1782"/>
      <c r="M181" s="1780" t="s">
        <v>2960</v>
      </c>
      <c r="N181" s="1781"/>
      <c r="O181" s="1781"/>
      <c r="P181" s="1781"/>
      <c r="Q181" s="1782"/>
      <c r="R181" s="1781" t="s">
        <v>2962</v>
      </c>
      <c r="S181" s="1781"/>
      <c r="T181" s="1781"/>
      <c r="U181" s="1781"/>
      <c r="V181" s="1784"/>
      <c r="W181" s="1787" t="s">
        <v>112</v>
      </c>
      <c r="X181" s="1788"/>
      <c r="Y181" s="1817"/>
    </row>
    <row r="182" spans="1:25" ht="32.450000000000003" customHeight="1">
      <c r="A182" s="1800"/>
      <c r="B182" s="1779"/>
      <c r="C182" s="1877"/>
      <c r="D182" s="1878"/>
      <c r="E182" s="865" t="s">
        <v>145</v>
      </c>
      <c r="F182" s="872"/>
      <c r="G182" s="864" t="s">
        <v>2959</v>
      </c>
      <c r="H182" s="1879"/>
      <c r="I182" s="1878"/>
      <c r="J182" s="865" t="s">
        <v>145</v>
      </c>
      <c r="K182" s="872"/>
      <c r="L182" s="864" t="s">
        <v>2959</v>
      </c>
      <c r="M182" s="1879"/>
      <c r="N182" s="1878"/>
      <c r="O182" s="865" t="s">
        <v>145</v>
      </c>
      <c r="P182" s="872"/>
      <c r="Q182" s="864" t="s">
        <v>2959</v>
      </c>
      <c r="R182" s="1879"/>
      <c r="S182" s="1878"/>
      <c r="T182" s="865" t="s">
        <v>145</v>
      </c>
      <c r="U182" s="872"/>
      <c r="V182" s="798" t="s">
        <v>2959</v>
      </c>
      <c r="W182" s="1789"/>
      <c r="X182" s="1790"/>
      <c r="Y182" s="1817"/>
    </row>
    <row r="183" spans="1:25" ht="32.450000000000003" customHeight="1">
      <c r="A183" s="1800"/>
      <c r="B183" s="1779"/>
      <c r="C183" s="1767"/>
      <c r="D183" s="1767"/>
      <c r="E183" s="1767"/>
      <c r="F183" s="1767"/>
      <c r="G183" s="1768"/>
      <c r="H183" s="1769"/>
      <c r="I183" s="1767"/>
      <c r="J183" s="1767"/>
      <c r="K183" s="1767"/>
      <c r="L183" s="1768"/>
      <c r="M183" s="1767"/>
      <c r="N183" s="1767"/>
      <c r="O183" s="1767"/>
      <c r="P183" s="1767"/>
      <c r="Q183" s="1768"/>
      <c r="R183" s="1769"/>
      <c r="S183" s="1767"/>
      <c r="T183" s="1767"/>
      <c r="U183" s="1767"/>
      <c r="V183" s="1770"/>
      <c r="W183" s="1789"/>
      <c r="X183" s="1790"/>
      <c r="Y183" s="1817"/>
    </row>
    <row r="184" spans="1:25" ht="32.450000000000003" customHeight="1" thickBot="1">
      <c r="A184" s="1800"/>
      <c r="B184" s="1779"/>
      <c r="C184" s="1812" t="str">
        <f>IFERROR(_xlfn.IFS($BB$19="土通常食",$BD$10,$BB$19="日通常食",$BD$9),"")</f>
        <v/>
      </c>
      <c r="D184" s="1812"/>
      <c r="E184" s="1812"/>
      <c r="F184" s="1812"/>
      <c r="G184" s="1813"/>
      <c r="H184" s="1814" t="str">
        <f>IFERROR(_xlfn.IFS($BB$20="土通常食",$BD$10,$BB$20="日通常食",$BD$9),"")</f>
        <v/>
      </c>
      <c r="I184" s="1812"/>
      <c r="J184" s="1812"/>
      <c r="K184" s="1812"/>
      <c r="L184" s="1813"/>
      <c r="M184" s="1814" t="str">
        <f>IFERROR(_xlfn.IFS($BB$21="土通常食",$BD$10,$BB$21="日通常食",$BD$9),"")</f>
        <v/>
      </c>
      <c r="N184" s="1812"/>
      <c r="O184" s="1812"/>
      <c r="P184" s="1812"/>
      <c r="Q184" s="1813"/>
      <c r="R184" s="1815" t="str">
        <f>IFERROR(_xlfn.IFS($BB$22="土通常食",$BD$10,$BB$22="日通常食",$BD$9),"")</f>
        <v/>
      </c>
      <c r="S184" s="1815"/>
      <c r="T184" s="1815"/>
      <c r="U184" s="1815"/>
      <c r="V184" s="1816"/>
      <c r="W184" s="1789"/>
      <c r="X184" s="1790"/>
      <c r="Y184" s="1817"/>
    </row>
    <row r="185" spans="1:25" ht="15" thickTop="1" thickBot="1">
      <c r="A185" s="1801"/>
      <c r="B185" s="1802"/>
      <c r="C185" s="1810" t="s">
        <v>148</v>
      </c>
      <c r="D185" s="1810"/>
      <c r="E185" s="1810"/>
      <c r="F185" s="1810"/>
      <c r="G185" s="1810"/>
      <c r="H185" s="1810"/>
      <c r="I185" s="1810"/>
      <c r="J185" s="1810"/>
      <c r="K185" s="1810"/>
      <c r="L185" s="1810"/>
      <c r="M185" s="1810"/>
      <c r="N185" s="1810"/>
      <c r="O185" s="1810"/>
      <c r="P185" s="1810"/>
      <c r="Q185" s="1810"/>
      <c r="R185" s="1810"/>
      <c r="S185" s="1810"/>
      <c r="T185" s="1810"/>
      <c r="U185" s="1810"/>
      <c r="V185" s="1811"/>
      <c r="W185" s="1791"/>
      <c r="X185" s="1792"/>
      <c r="Y185" s="1817"/>
    </row>
    <row r="186" spans="1:25">
      <c r="A186" s="1761"/>
      <c r="B186" s="1762" t="s">
        <v>446</v>
      </c>
      <c r="C186" s="1763"/>
      <c r="D186" s="1764"/>
      <c r="E186" s="1764"/>
      <c r="F186" s="1764"/>
      <c r="G186" s="1764"/>
      <c r="H186" s="1765"/>
      <c r="I186" s="1765"/>
      <c r="J186" s="1765"/>
      <c r="K186" s="1765"/>
      <c r="L186" s="1765"/>
      <c r="M186" s="1765"/>
      <c r="N186" s="1765"/>
      <c r="O186" s="1765"/>
      <c r="P186" s="1765"/>
      <c r="Q186" s="1765"/>
      <c r="R186" s="1765"/>
      <c r="S186" s="1765"/>
      <c r="T186" s="1765"/>
      <c r="U186" s="1765"/>
      <c r="V186" s="1766"/>
      <c r="W186" s="1754"/>
      <c r="X186" s="1755"/>
      <c r="Y186" s="1817"/>
    </row>
    <row r="187" spans="1:25">
      <c r="A187" s="1717"/>
      <c r="B187" s="1693"/>
      <c r="C187" s="1721"/>
      <c r="D187" s="1722"/>
      <c r="E187" s="1722"/>
      <c r="F187" s="1722"/>
      <c r="G187" s="1722"/>
      <c r="H187" s="1690"/>
      <c r="I187" s="1690"/>
      <c r="J187" s="1690"/>
      <c r="K187" s="1690"/>
      <c r="L187" s="1690"/>
      <c r="M187" s="1690"/>
      <c r="N187" s="1690"/>
      <c r="O187" s="1690"/>
      <c r="P187" s="1690"/>
      <c r="Q187" s="1690"/>
      <c r="R187" s="1690"/>
      <c r="S187" s="1690"/>
      <c r="T187" s="1690"/>
      <c r="U187" s="1690"/>
      <c r="V187" s="1691"/>
      <c r="W187" s="1709"/>
      <c r="X187" s="1710"/>
      <c r="Y187" s="1817"/>
    </row>
    <row r="188" spans="1:25">
      <c r="A188" s="1717"/>
      <c r="B188" s="1692" t="s">
        <v>448</v>
      </c>
      <c r="C188" s="1721"/>
      <c r="D188" s="1722"/>
      <c r="E188" s="1722"/>
      <c r="F188" s="1722"/>
      <c r="G188" s="1722"/>
      <c r="H188" s="1690"/>
      <c r="I188" s="1690"/>
      <c r="J188" s="1690"/>
      <c r="K188" s="1690"/>
      <c r="L188" s="1690"/>
      <c r="M188" s="1690"/>
      <c r="N188" s="1690"/>
      <c r="O188" s="1690"/>
      <c r="P188" s="1690"/>
      <c r="Q188" s="1690"/>
      <c r="R188" s="1690"/>
      <c r="S188" s="1690"/>
      <c r="T188" s="1690"/>
      <c r="U188" s="1690"/>
      <c r="V188" s="1691"/>
      <c r="W188" s="1709"/>
      <c r="X188" s="1710"/>
      <c r="Y188" s="1817"/>
    </row>
    <row r="189" spans="1:25">
      <c r="A189" s="1717"/>
      <c r="B189" s="1693"/>
      <c r="C189" s="1721"/>
      <c r="D189" s="1722"/>
      <c r="E189" s="1722"/>
      <c r="F189" s="1722"/>
      <c r="G189" s="1722"/>
      <c r="H189" s="1690"/>
      <c r="I189" s="1690"/>
      <c r="J189" s="1690"/>
      <c r="K189" s="1690"/>
      <c r="L189" s="1690"/>
      <c r="M189" s="1690"/>
      <c r="N189" s="1690"/>
      <c r="O189" s="1690"/>
      <c r="P189" s="1690"/>
      <c r="Q189" s="1690"/>
      <c r="R189" s="1690"/>
      <c r="S189" s="1690"/>
      <c r="T189" s="1690"/>
      <c r="U189" s="1690"/>
      <c r="V189" s="1691"/>
      <c r="W189" s="1709"/>
      <c r="X189" s="1710"/>
      <c r="Y189" s="1817"/>
    </row>
    <row r="190" spans="1:25">
      <c r="A190" s="1717"/>
      <c r="B190" s="1700" t="s">
        <v>130</v>
      </c>
      <c r="C190" s="1721"/>
      <c r="D190" s="1722"/>
      <c r="E190" s="1722"/>
      <c r="F190" s="1722"/>
      <c r="G190" s="1722"/>
      <c r="H190" s="1690"/>
      <c r="I190" s="1690"/>
      <c r="J190" s="1690"/>
      <c r="K190" s="1690"/>
      <c r="L190" s="1690"/>
      <c r="M190" s="1690"/>
      <c r="N190" s="1690"/>
      <c r="O190" s="1690"/>
      <c r="P190" s="1690"/>
      <c r="Q190" s="1690"/>
      <c r="R190" s="1690"/>
      <c r="S190" s="1690"/>
      <c r="T190" s="1690"/>
      <c r="U190" s="1690"/>
      <c r="V190" s="1691"/>
      <c r="W190" s="1709"/>
      <c r="X190" s="1710"/>
      <c r="Y190" s="1817"/>
    </row>
    <row r="191" spans="1:25">
      <c r="A191" s="1717"/>
      <c r="B191" s="1701"/>
      <c r="C191" s="1721"/>
      <c r="D191" s="1722"/>
      <c r="E191" s="1722"/>
      <c r="F191" s="1722"/>
      <c r="G191" s="1722"/>
      <c r="H191" s="1690"/>
      <c r="I191" s="1690"/>
      <c r="J191" s="1690"/>
      <c r="K191" s="1690"/>
      <c r="L191" s="1690"/>
      <c r="M191" s="1690"/>
      <c r="N191" s="1690"/>
      <c r="O191" s="1690"/>
      <c r="P191" s="1690"/>
      <c r="Q191" s="1690"/>
      <c r="R191" s="1690"/>
      <c r="S191" s="1690"/>
      <c r="T191" s="1690"/>
      <c r="U191" s="1690"/>
      <c r="V191" s="1691"/>
      <c r="W191" s="1709"/>
      <c r="X191" s="1710"/>
      <c r="Y191" s="1817"/>
    </row>
    <row r="192" spans="1:25">
      <c r="A192" s="1717"/>
      <c r="B192" s="1700" t="s">
        <v>450</v>
      </c>
      <c r="C192" s="1721"/>
      <c r="D192" s="1722"/>
      <c r="E192" s="1722"/>
      <c r="F192" s="1722"/>
      <c r="G192" s="1722"/>
      <c r="H192" s="1690"/>
      <c r="I192" s="1690"/>
      <c r="J192" s="1690"/>
      <c r="K192" s="1690"/>
      <c r="L192" s="1690"/>
      <c r="M192" s="1690"/>
      <c r="N192" s="1690"/>
      <c r="O192" s="1690"/>
      <c r="P192" s="1690"/>
      <c r="Q192" s="1690"/>
      <c r="R192" s="1690"/>
      <c r="S192" s="1690"/>
      <c r="T192" s="1690"/>
      <c r="U192" s="1690"/>
      <c r="V192" s="1691"/>
      <c r="W192" s="1709"/>
      <c r="X192" s="1710"/>
      <c r="Y192" s="1817"/>
    </row>
    <row r="193" spans="1:25">
      <c r="A193" s="1742"/>
      <c r="B193" s="1701"/>
      <c r="C193" s="1743"/>
      <c r="D193" s="1744"/>
      <c r="E193" s="1744"/>
      <c r="F193" s="1744"/>
      <c r="G193" s="1744"/>
      <c r="H193" s="1690"/>
      <c r="I193" s="1690"/>
      <c r="J193" s="1690"/>
      <c r="K193" s="1690"/>
      <c r="L193" s="1690"/>
      <c r="M193" s="1690"/>
      <c r="N193" s="1690"/>
      <c r="O193" s="1690"/>
      <c r="P193" s="1690"/>
      <c r="Q193" s="1690"/>
      <c r="R193" s="1690"/>
      <c r="S193" s="1690"/>
      <c r="T193" s="1690"/>
      <c r="U193" s="1690"/>
      <c r="V193" s="1691"/>
      <c r="W193" s="1709"/>
      <c r="X193" s="1710"/>
      <c r="Y193" s="1817"/>
    </row>
    <row r="194" spans="1:25">
      <c r="A194" s="1716"/>
      <c r="B194" s="1692" t="s">
        <v>446</v>
      </c>
      <c r="C194" s="1719"/>
      <c r="D194" s="1720"/>
      <c r="E194" s="1720"/>
      <c r="F194" s="1720"/>
      <c r="G194" s="1720"/>
      <c r="H194" s="1690"/>
      <c r="I194" s="1690"/>
      <c r="J194" s="1690"/>
      <c r="K194" s="1690"/>
      <c r="L194" s="1690"/>
      <c r="M194" s="1690"/>
      <c r="N194" s="1690"/>
      <c r="O194" s="1690"/>
      <c r="P194" s="1690"/>
      <c r="Q194" s="1690"/>
      <c r="R194" s="1690"/>
      <c r="S194" s="1690"/>
      <c r="T194" s="1690"/>
      <c r="U194" s="1690"/>
      <c r="V194" s="1691"/>
      <c r="W194" s="1709"/>
      <c r="X194" s="1710"/>
      <c r="Y194" s="1817"/>
    </row>
    <row r="195" spans="1:25">
      <c r="A195" s="1717"/>
      <c r="B195" s="1693"/>
      <c r="C195" s="1721"/>
      <c r="D195" s="1722"/>
      <c r="E195" s="1722"/>
      <c r="F195" s="1722"/>
      <c r="G195" s="1722"/>
      <c r="H195" s="1690"/>
      <c r="I195" s="1690"/>
      <c r="J195" s="1690"/>
      <c r="K195" s="1690"/>
      <c r="L195" s="1690"/>
      <c r="M195" s="1690"/>
      <c r="N195" s="1690"/>
      <c r="O195" s="1690"/>
      <c r="P195" s="1690"/>
      <c r="Q195" s="1690"/>
      <c r="R195" s="1690"/>
      <c r="S195" s="1690"/>
      <c r="T195" s="1690"/>
      <c r="U195" s="1690"/>
      <c r="V195" s="1691"/>
      <c r="W195" s="1709"/>
      <c r="X195" s="1710"/>
      <c r="Y195" s="1817"/>
    </row>
    <row r="196" spans="1:25">
      <c r="A196" s="1717"/>
      <c r="B196" s="1692" t="s">
        <v>448</v>
      </c>
      <c r="C196" s="1721"/>
      <c r="D196" s="1722"/>
      <c r="E196" s="1722"/>
      <c r="F196" s="1722"/>
      <c r="G196" s="1722"/>
      <c r="H196" s="1690"/>
      <c r="I196" s="1690"/>
      <c r="J196" s="1690"/>
      <c r="K196" s="1690"/>
      <c r="L196" s="1690"/>
      <c r="M196" s="1690"/>
      <c r="N196" s="1690"/>
      <c r="O196" s="1690"/>
      <c r="P196" s="1690"/>
      <c r="Q196" s="1690"/>
      <c r="R196" s="1690"/>
      <c r="S196" s="1690"/>
      <c r="T196" s="1690"/>
      <c r="U196" s="1690"/>
      <c r="V196" s="1691"/>
      <c r="W196" s="1709"/>
      <c r="X196" s="1710"/>
      <c r="Y196" s="1817"/>
    </row>
    <row r="197" spans="1:25" ht="14.25" thickBot="1">
      <c r="A197" s="1718"/>
      <c r="B197" s="1693"/>
      <c r="C197" s="1723"/>
      <c r="D197" s="1724"/>
      <c r="E197" s="1724"/>
      <c r="F197" s="1724"/>
      <c r="G197" s="1724"/>
      <c r="H197" s="1725"/>
      <c r="I197" s="1725"/>
      <c r="J197" s="1725"/>
      <c r="K197" s="1725"/>
      <c r="L197" s="1725"/>
      <c r="M197" s="1725"/>
      <c r="N197" s="1725"/>
      <c r="O197" s="1725"/>
      <c r="P197" s="1725"/>
      <c r="Q197" s="1725"/>
      <c r="R197" s="1725"/>
      <c r="S197" s="1725"/>
      <c r="T197" s="1725"/>
      <c r="U197" s="1725"/>
      <c r="V197" s="1726"/>
      <c r="W197" s="1709"/>
      <c r="X197" s="1710"/>
      <c r="Y197" s="1817"/>
    </row>
    <row r="198" spans="1:25">
      <c r="A198" s="1717"/>
      <c r="B198" s="1700" t="s">
        <v>130</v>
      </c>
      <c r="C198" s="1721"/>
      <c r="D198" s="1722"/>
      <c r="E198" s="1722"/>
      <c r="F198" s="1722"/>
      <c r="G198" s="1722"/>
      <c r="H198" s="1690"/>
      <c r="I198" s="1690"/>
      <c r="J198" s="1690"/>
      <c r="K198" s="1690"/>
      <c r="L198" s="1690"/>
      <c r="M198" s="1690"/>
      <c r="N198" s="1690"/>
      <c r="O198" s="1690"/>
      <c r="P198" s="1690"/>
      <c r="Q198" s="1690"/>
      <c r="R198" s="1690"/>
      <c r="S198" s="1690"/>
      <c r="T198" s="1690"/>
      <c r="U198" s="1690"/>
      <c r="V198" s="1691"/>
      <c r="W198" s="1709"/>
      <c r="X198" s="1710"/>
      <c r="Y198" s="1817"/>
    </row>
    <row r="199" spans="1:25">
      <c r="A199" s="1717"/>
      <c r="B199" s="1701"/>
      <c r="C199" s="1721"/>
      <c r="D199" s="1722"/>
      <c r="E199" s="1722"/>
      <c r="F199" s="1722"/>
      <c r="G199" s="1722"/>
      <c r="H199" s="1690"/>
      <c r="I199" s="1690"/>
      <c r="J199" s="1690"/>
      <c r="K199" s="1690"/>
      <c r="L199" s="1690"/>
      <c r="M199" s="1690"/>
      <c r="N199" s="1690"/>
      <c r="O199" s="1690"/>
      <c r="P199" s="1690"/>
      <c r="Q199" s="1690"/>
      <c r="R199" s="1690"/>
      <c r="S199" s="1690"/>
      <c r="T199" s="1690"/>
      <c r="U199" s="1690"/>
      <c r="V199" s="1691"/>
      <c r="W199" s="1709"/>
      <c r="X199" s="1710"/>
      <c r="Y199" s="1817"/>
    </row>
    <row r="200" spans="1:25">
      <c r="A200" s="1717"/>
      <c r="B200" s="1700" t="s">
        <v>450</v>
      </c>
      <c r="C200" s="1721"/>
      <c r="D200" s="1722"/>
      <c r="E200" s="1722"/>
      <c r="F200" s="1722"/>
      <c r="G200" s="1722"/>
      <c r="H200" s="1690"/>
      <c r="I200" s="1690"/>
      <c r="J200" s="1690"/>
      <c r="K200" s="1690"/>
      <c r="L200" s="1690"/>
      <c r="M200" s="1690"/>
      <c r="N200" s="1690"/>
      <c r="O200" s="1690"/>
      <c r="P200" s="1690"/>
      <c r="Q200" s="1690"/>
      <c r="R200" s="1690"/>
      <c r="S200" s="1690"/>
      <c r="T200" s="1690"/>
      <c r="U200" s="1690"/>
      <c r="V200" s="1691"/>
      <c r="W200" s="1709"/>
      <c r="X200" s="1710"/>
      <c r="Y200" s="1817"/>
    </row>
    <row r="201" spans="1:25">
      <c r="A201" s="1742"/>
      <c r="B201" s="1701"/>
      <c r="C201" s="1743"/>
      <c r="D201" s="1744"/>
      <c r="E201" s="1744"/>
      <c r="F201" s="1744"/>
      <c r="G201" s="1744"/>
      <c r="H201" s="1690"/>
      <c r="I201" s="1690"/>
      <c r="J201" s="1690"/>
      <c r="K201" s="1690"/>
      <c r="L201" s="1690"/>
      <c r="M201" s="1690"/>
      <c r="N201" s="1690"/>
      <c r="O201" s="1690"/>
      <c r="P201" s="1690"/>
      <c r="Q201" s="1690"/>
      <c r="R201" s="1690"/>
      <c r="S201" s="1690"/>
      <c r="T201" s="1690"/>
      <c r="U201" s="1690"/>
      <c r="V201" s="1691"/>
      <c r="W201" s="1709"/>
      <c r="X201" s="1710"/>
      <c r="Y201" s="1817"/>
    </row>
    <row r="202" spans="1:25">
      <c r="A202" s="1716"/>
      <c r="B202" s="1692" t="s">
        <v>446</v>
      </c>
      <c r="C202" s="1719"/>
      <c r="D202" s="1720"/>
      <c r="E202" s="1720"/>
      <c r="F202" s="1720"/>
      <c r="G202" s="1720"/>
      <c r="H202" s="1690"/>
      <c r="I202" s="1690"/>
      <c r="J202" s="1690"/>
      <c r="K202" s="1690"/>
      <c r="L202" s="1690"/>
      <c r="M202" s="1690"/>
      <c r="N202" s="1690"/>
      <c r="O202" s="1690"/>
      <c r="P202" s="1690"/>
      <c r="Q202" s="1690"/>
      <c r="R202" s="1690"/>
      <c r="S202" s="1690"/>
      <c r="T202" s="1690"/>
      <c r="U202" s="1690"/>
      <c r="V202" s="1691"/>
      <c r="W202" s="1709"/>
      <c r="X202" s="1710"/>
      <c r="Y202" s="1817"/>
    </row>
    <row r="203" spans="1:25">
      <c r="A203" s="1717"/>
      <c r="B203" s="1693"/>
      <c r="C203" s="1721"/>
      <c r="D203" s="1722"/>
      <c r="E203" s="1722"/>
      <c r="F203" s="1722"/>
      <c r="G203" s="1722"/>
      <c r="H203" s="1690"/>
      <c r="I203" s="1690"/>
      <c r="J203" s="1690"/>
      <c r="K203" s="1690"/>
      <c r="L203" s="1690"/>
      <c r="M203" s="1690"/>
      <c r="N203" s="1690"/>
      <c r="O203" s="1690"/>
      <c r="P203" s="1690"/>
      <c r="Q203" s="1690"/>
      <c r="R203" s="1690"/>
      <c r="S203" s="1690"/>
      <c r="T203" s="1690"/>
      <c r="U203" s="1690"/>
      <c r="V203" s="1691"/>
      <c r="W203" s="1709"/>
      <c r="X203" s="1710"/>
      <c r="Y203" s="1817"/>
    </row>
    <row r="204" spans="1:25">
      <c r="A204" s="1717"/>
      <c r="B204" s="1692" t="s">
        <v>448</v>
      </c>
      <c r="C204" s="1721"/>
      <c r="D204" s="1722"/>
      <c r="E204" s="1722"/>
      <c r="F204" s="1722"/>
      <c r="G204" s="1722"/>
      <c r="H204" s="1690"/>
      <c r="I204" s="1690"/>
      <c r="J204" s="1690"/>
      <c r="K204" s="1690"/>
      <c r="L204" s="1690"/>
      <c r="M204" s="1690"/>
      <c r="N204" s="1690"/>
      <c r="O204" s="1690"/>
      <c r="P204" s="1690"/>
      <c r="Q204" s="1690"/>
      <c r="R204" s="1690"/>
      <c r="S204" s="1690"/>
      <c r="T204" s="1690"/>
      <c r="U204" s="1690"/>
      <c r="V204" s="1691"/>
      <c r="W204" s="1709"/>
      <c r="X204" s="1710"/>
      <c r="Y204" s="1817"/>
    </row>
    <row r="205" spans="1:25">
      <c r="A205" s="1717"/>
      <c r="B205" s="1693"/>
      <c r="C205" s="1721"/>
      <c r="D205" s="1722"/>
      <c r="E205" s="1722"/>
      <c r="F205" s="1722"/>
      <c r="G205" s="1722"/>
      <c r="H205" s="1690"/>
      <c r="I205" s="1690"/>
      <c r="J205" s="1690"/>
      <c r="K205" s="1690"/>
      <c r="L205" s="1690"/>
      <c r="M205" s="1690"/>
      <c r="N205" s="1690"/>
      <c r="O205" s="1690"/>
      <c r="P205" s="1690"/>
      <c r="Q205" s="1690"/>
      <c r="R205" s="1690"/>
      <c r="S205" s="1690"/>
      <c r="T205" s="1690"/>
      <c r="U205" s="1690"/>
      <c r="V205" s="1691"/>
      <c r="W205" s="1709"/>
      <c r="X205" s="1710"/>
      <c r="Y205" s="1817"/>
    </row>
    <row r="206" spans="1:25">
      <c r="A206" s="1717"/>
      <c r="B206" s="1700" t="s">
        <v>130</v>
      </c>
      <c r="C206" s="1721"/>
      <c r="D206" s="1722"/>
      <c r="E206" s="1722"/>
      <c r="F206" s="1722"/>
      <c r="G206" s="1722"/>
      <c r="H206" s="1690"/>
      <c r="I206" s="1690"/>
      <c r="J206" s="1690"/>
      <c r="K206" s="1690"/>
      <c r="L206" s="1690"/>
      <c r="M206" s="1690"/>
      <c r="N206" s="1690"/>
      <c r="O206" s="1690"/>
      <c r="P206" s="1690"/>
      <c r="Q206" s="1690"/>
      <c r="R206" s="1690"/>
      <c r="S206" s="1690"/>
      <c r="T206" s="1690"/>
      <c r="U206" s="1690"/>
      <c r="V206" s="1691"/>
      <c r="W206" s="1709"/>
      <c r="X206" s="1710"/>
      <c r="Y206" s="1817"/>
    </row>
    <row r="207" spans="1:25">
      <c r="A207" s="1717"/>
      <c r="B207" s="1701"/>
      <c r="C207" s="1721"/>
      <c r="D207" s="1722"/>
      <c r="E207" s="1722"/>
      <c r="F207" s="1722"/>
      <c r="G207" s="1722"/>
      <c r="H207" s="1690"/>
      <c r="I207" s="1690"/>
      <c r="J207" s="1690"/>
      <c r="K207" s="1690"/>
      <c r="L207" s="1690"/>
      <c r="M207" s="1690"/>
      <c r="N207" s="1690"/>
      <c r="O207" s="1690"/>
      <c r="P207" s="1690"/>
      <c r="Q207" s="1690"/>
      <c r="R207" s="1690"/>
      <c r="S207" s="1690"/>
      <c r="T207" s="1690"/>
      <c r="U207" s="1690"/>
      <c r="V207" s="1691"/>
      <c r="W207" s="1709"/>
      <c r="X207" s="1710"/>
      <c r="Y207" s="1817"/>
    </row>
    <row r="208" spans="1:25">
      <c r="A208" s="1717"/>
      <c r="B208" s="1700" t="s">
        <v>450</v>
      </c>
      <c r="C208" s="1721"/>
      <c r="D208" s="1722"/>
      <c r="E208" s="1722"/>
      <c r="F208" s="1722"/>
      <c r="G208" s="1722"/>
      <c r="H208" s="1690"/>
      <c r="I208" s="1690"/>
      <c r="J208" s="1690"/>
      <c r="K208" s="1690"/>
      <c r="L208" s="1690"/>
      <c r="M208" s="1690"/>
      <c r="N208" s="1690"/>
      <c r="O208" s="1690"/>
      <c r="P208" s="1690"/>
      <c r="Q208" s="1690"/>
      <c r="R208" s="1690"/>
      <c r="S208" s="1690"/>
      <c r="T208" s="1690"/>
      <c r="U208" s="1690"/>
      <c r="V208" s="1691"/>
      <c r="W208" s="1709"/>
      <c r="X208" s="1710"/>
      <c r="Y208" s="1817"/>
    </row>
    <row r="209" spans="1:25">
      <c r="A209" s="1742"/>
      <c r="B209" s="1701"/>
      <c r="C209" s="1743"/>
      <c r="D209" s="1744"/>
      <c r="E209" s="1744"/>
      <c r="F209" s="1744"/>
      <c r="G209" s="1744"/>
      <c r="H209" s="1690"/>
      <c r="I209" s="1690"/>
      <c r="J209" s="1690"/>
      <c r="K209" s="1690"/>
      <c r="L209" s="1690"/>
      <c r="M209" s="1690"/>
      <c r="N209" s="1690"/>
      <c r="O209" s="1690"/>
      <c r="P209" s="1690"/>
      <c r="Q209" s="1690"/>
      <c r="R209" s="1690"/>
      <c r="S209" s="1690"/>
      <c r="T209" s="1690"/>
      <c r="U209" s="1690"/>
      <c r="V209" s="1691"/>
      <c r="W209" s="1709"/>
      <c r="X209" s="1710"/>
      <c r="Y209" s="1817"/>
    </row>
    <row r="210" spans="1:25">
      <c r="A210" s="1716"/>
      <c r="B210" s="1692" t="s">
        <v>446</v>
      </c>
      <c r="C210" s="1719"/>
      <c r="D210" s="1720"/>
      <c r="E210" s="1720"/>
      <c r="F210" s="1720"/>
      <c r="G210" s="1720"/>
      <c r="H210" s="1690"/>
      <c r="I210" s="1690"/>
      <c r="J210" s="1690"/>
      <c r="K210" s="1690"/>
      <c r="L210" s="1690"/>
      <c r="M210" s="1690"/>
      <c r="N210" s="1690"/>
      <c r="O210" s="1690"/>
      <c r="P210" s="1690"/>
      <c r="Q210" s="1690"/>
      <c r="R210" s="1690"/>
      <c r="S210" s="1690"/>
      <c r="T210" s="1690"/>
      <c r="U210" s="1690"/>
      <c r="V210" s="1691"/>
      <c r="W210" s="1709"/>
      <c r="X210" s="1710"/>
      <c r="Y210" s="1817"/>
    </row>
    <row r="211" spans="1:25">
      <c r="A211" s="1717"/>
      <c r="B211" s="1693"/>
      <c r="C211" s="1721"/>
      <c r="D211" s="1722"/>
      <c r="E211" s="1722"/>
      <c r="F211" s="1722"/>
      <c r="G211" s="1722"/>
      <c r="H211" s="1690"/>
      <c r="I211" s="1690"/>
      <c r="J211" s="1690"/>
      <c r="K211" s="1690"/>
      <c r="L211" s="1690"/>
      <c r="M211" s="1690"/>
      <c r="N211" s="1690"/>
      <c r="O211" s="1690"/>
      <c r="P211" s="1690"/>
      <c r="Q211" s="1690"/>
      <c r="R211" s="1690"/>
      <c r="S211" s="1690"/>
      <c r="T211" s="1690"/>
      <c r="U211" s="1690"/>
      <c r="V211" s="1691"/>
      <c r="W211" s="1709"/>
      <c r="X211" s="1710"/>
      <c r="Y211" s="1817"/>
    </row>
    <row r="212" spans="1:25">
      <c r="A212" s="1717"/>
      <c r="B212" s="1692" t="s">
        <v>448</v>
      </c>
      <c r="C212" s="1721"/>
      <c r="D212" s="1722"/>
      <c r="E212" s="1722"/>
      <c r="F212" s="1722"/>
      <c r="G212" s="1722"/>
      <c r="H212" s="1690"/>
      <c r="I212" s="1690"/>
      <c r="J212" s="1690"/>
      <c r="K212" s="1690"/>
      <c r="L212" s="1690"/>
      <c r="M212" s="1690"/>
      <c r="N212" s="1690"/>
      <c r="O212" s="1690"/>
      <c r="P212" s="1690"/>
      <c r="Q212" s="1690"/>
      <c r="R212" s="1690"/>
      <c r="S212" s="1690"/>
      <c r="T212" s="1690"/>
      <c r="U212" s="1690"/>
      <c r="V212" s="1691"/>
      <c r="W212" s="1709"/>
      <c r="X212" s="1710"/>
      <c r="Y212" s="1817"/>
    </row>
    <row r="213" spans="1:25">
      <c r="A213" s="1717"/>
      <c r="B213" s="1693"/>
      <c r="C213" s="1721"/>
      <c r="D213" s="1722"/>
      <c r="E213" s="1722"/>
      <c r="F213" s="1722"/>
      <c r="G213" s="1722"/>
      <c r="H213" s="1690"/>
      <c r="I213" s="1690"/>
      <c r="J213" s="1690"/>
      <c r="K213" s="1690"/>
      <c r="L213" s="1690"/>
      <c r="M213" s="1690"/>
      <c r="N213" s="1690"/>
      <c r="O213" s="1690"/>
      <c r="P213" s="1690"/>
      <c r="Q213" s="1690"/>
      <c r="R213" s="1690"/>
      <c r="S213" s="1690"/>
      <c r="T213" s="1690"/>
      <c r="U213" s="1690"/>
      <c r="V213" s="1691"/>
      <c r="W213" s="1709"/>
      <c r="X213" s="1710"/>
      <c r="Y213" s="1817"/>
    </row>
    <row r="214" spans="1:25">
      <c r="A214" s="1717"/>
      <c r="B214" s="1700" t="s">
        <v>130</v>
      </c>
      <c r="C214" s="1721"/>
      <c r="D214" s="1722"/>
      <c r="E214" s="1722"/>
      <c r="F214" s="1722"/>
      <c r="G214" s="1722"/>
      <c r="H214" s="1690"/>
      <c r="I214" s="1690"/>
      <c r="J214" s="1690"/>
      <c r="K214" s="1690"/>
      <c r="L214" s="1690"/>
      <c r="M214" s="1690"/>
      <c r="N214" s="1690"/>
      <c r="O214" s="1690"/>
      <c r="P214" s="1690"/>
      <c r="Q214" s="1690"/>
      <c r="R214" s="1690"/>
      <c r="S214" s="1690"/>
      <c r="T214" s="1690"/>
      <c r="U214" s="1690"/>
      <c r="V214" s="1691"/>
      <c r="W214" s="1709"/>
      <c r="X214" s="1710"/>
      <c r="Y214" s="1817"/>
    </row>
    <row r="215" spans="1:25">
      <c r="A215" s="1717"/>
      <c r="B215" s="1701"/>
      <c r="C215" s="1721"/>
      <c r="D215" s="1722"/>
      <c r="E215" s="1722"/>
      <c r="F215" s="1722"/>
      <c r="G215" s="1722"/>
      <c r="H215" s="1690"/>
      <c r="I215" s="1690"/>
      <c r="J215" s="1690"/>
      <c r="K215" s="1690"/>
      <c r="L215" s="1690"/>
      <c r="M215" s="1690"/>
      <c r="N215" s="1690"/>
      <c r="O215" s="1690"/>
      <c r="P215" s="1690"/>
      <c r="Q215" s="1690"/>
      <c r="R215" s="1690"/>
      <c r="S215" s="1690"/>
      <c r="T215" s="1690"/>
      <c r="U215" s="1690"/>
      <c r="V215" s="1691"/>
      <c r="W215" s="1709"/>
      <c r="X215" s="1710"/>
      <c r="Y215" s="1817"/>
    </row>
    <row r="216" spans="1:25">
      <c r="A216" s="1717"/>
      <c r="B216" s="1700" t="s">
        <v>450</v>
      </c>
      <c r="C216" s="1721"/>
      <c r="D216" s="1722"/>
      <c r="E216" s="1722"/>
      <c r="F216" s="1722"/>
      <c r="G216" s="1722"/>
      <c r="H216" s="1690"/>
      <c r="I216" s="1690"/>
      <c r="J216" s="1690"/>
      <c r="K216" s="1690"/>
      <c r="L216" s="1690"/>
      <c r="M216" s="1690"/>
      <c r="N216" s="1690"/>
      <c r="O216" s="1690"/>
      <c r="P216" s="1690"/>
      <c r="Q216" s="1690"/>
      <c r="R216" s="1690"/>
      <c r="S216" s="1690"/>
      <c r="T216" s="1690"/>
      <c r="U216" s="1690"/>
      <c r="V216" s="1691"/>
      <c r="W216" s="1709"/>
      <c r="X216" s="1710"/>
      <c r="Y216" s="1817"/>
    </row>
    <row r="217" spans="1:25" ht="14.25" thickBot="1">
      <c r="A217" s="1718"/>
      <c r="B217" s="1707"/>
      <c r="C217" s="1723"/>
      <c r="D217" s="1724"/>
      <c r="E217" s="1724"/>
      <c r="F217" s="1724"/>
      <c r="G217" s="1724"/>
      <c r="H217" s="1725"/>
      <c r="I217" s="1725"/>
      <c r="J217" s="1725"/>
      <c r="K217" s="1725"/>
      <c r="L217" s="1725"/>
      <c r="M217" s="1725"/>
      <c r="N217" s="1725"/>
      <c r="O217" s="1725"/>
      <c r="P217" s="1725"/>
      <c r="Q217" s="1725"/>
      <c r="R217" s="1725"/>
      <c r="S217" s="1725"/>
      <c r="T217" s="1725"/>
      <c r="U217" s="1725"/>
      <c r="V217" s="1726"/>
      <c r="W217" s="1711"/>
      <c r="X217" s="1712"/>
      <c r="Y217" s="1817"/>
    </row>
    <row r="218" spans="1:25" ht="14.25" thickBot="1">
      <c r="A218" s="509"/>
      <c r="B218" s="868"/>
      <c r="C218" s="1563" t="s">
        <v>156</v>
      </c>
      <c r="D218" s="1563"/>
      <c r="E218" s="1563"/>
      <c r="F218" s="1563"/>
      <c r="G218" s="1563"/>
      <c r="H218" s="1563"/>
      <c r="I218" s="1563"/>
      <c r="J218" s="1563"/>
      <c r="K218" s="1563"/>
      <c r="L218" s="1563"/>
      <c r="M218" s="1563"/>
      <c r="N218" s="1563"/>
      <c r="O218" s="1563"/>
      <c r="P218" s="1563"/>
      <c r="Q218" s="1563"/>
      <c r="R218" s="1563"/>
      <c r="S218" s="1563"/>
      <c r="T218" s="1563"/>
      <c r="U218" s="1563"/>
      <c r="V218" s="1563"/>
      <c r="W218" s="1563"/>
      <c r="X218" s="1563"/>
      <c r="Y218" s="1817"/>
    </row>
    <row r="219" spans="1:25" ht="14.25" thickTop="1">
      <c r="A219" s="509"/>
      <c r="B219" s="509"/>
      <c r="C219" s="1663" t="s">
        <v>157</v>
      </c>
      <c r="D219" s="1664"/>
      <c r="E219" s="1664"/>
      <c r="F219" s="1664"/>
      <c r="G219" s="1664"/>
      <c r="H219" s="1667"/>
      <c r="I219" s="1668"/>
      <c r="J219" s="1668"/>
      <c r="K219" s="1668"/>
      <c r="L219" s="1669"/>
      <c r="M219" s="509"/>
      <c r="N219" s="509"/>
      <c r="O219" s="509"/>
      <c r="P219" s="509"/>
      <c r="Q219" s="1661" t="s">
        <v>158</v>
      </c>
      <c r="R219" s="1661"/>
      <c r="S219" s="1661"/>
      <c r="T219" s="1673"/>
      <c r="U219" s="1673"/>
      <c r="V219" s="1673"/>
      <c r="W219" s="1674" t="s">
        <v>125</v>
      </c>
      <c r="X219" s="1673"/>
      <c r="Y219" s="1817"/>
    </row>
    <row r="220" spans="1:25" ht="14.25" thickBot="1">
      <c r="A220" s="509"/>
      <c r="B220" s="509"/>
      <c r="C220" s="1665"/>
      <c r="D220" s="1666"/>
      <c r="E220" s="1666"/>
      <c r="F220" s="1666"/>
      <c r="G220" s="1666"/>
      <c r="H220" s="1670"/>
      <c r="I220" s="1671"/>
      <c r="J220" s="1671"/>
      <c r="K220" s="1671"/>
      <c r="L220" s="1672"/>
      <c r="M220" s="509"/>
      <c r="N220" s="509"/>
      <c r="O220" s="509"/>
      <c r="P220" s="509"/>
      <c r="Q220" s="1661"/>
      <c r="R220" s="1661"/>
      <c r="S220" s="1661"/>
      <c r="T220" s="1673"/>
      <c r="U220" s="1673"/>
      <c r="V220" s="1673"/>
      <c r="W220" s="1674"/>
      <c r="X220" s="1673"/>
      <c r="Y220" s="1817"/>
    </row>
    <row r="221" spans="1:25" ht="14.25" thickTop="1"/>
  </sheetData>
  <sheetProtection algorithmName="SHA-512" hashValue="BsUgC2okTIL9DIRYJ8BrC+7RdvuU7bJVsuRHblnpyNIJcAwntRARD/taP2ThtxQ7UexR14DzAd3wAS0/Wbn9Dw==" saltValue="PjS5dqA91ACLY4ZOBFvGCQ==" spinCount="100000" sheet="1" selectLockedCells="1"/>
  <mergeCells count="553">
    <mergeCell ref="C218:X218"/>
    <mergeCell ref="C219:G220"/>
    <mergeCell ref="H219:L220"/>
    <mergeCell ref="Q219:S220"/>
    <mergeCell ref="T219:U220"/>
    <mergeCell ref="V219:V220"/>
    <mergeCell ref="W219:W220"/>
    <mergeCell ref="X219:X220"/>
    <mergeCell ref="A210:A217"/>
    <mergeCell ref="B210:B211"/>
    <mergeCell ref="C210:G217"/>
    <mergeCell ref="H210:L217"/>
    <mergeCell ref="M210:Q217"/>
    <mergeCell ref="R210:V217"/>
    <mergeCell ref="W210:X217"/>
    <mergeCell ref="B212:B213"/>
    <mergeCell ref="B214:B215"/>
    <mergeCell ref="B216:B217"/>
    <mergeCell ref="A202:A209"/>
    <mergeCell ref="B202:B203"/>
    <mergeCell ref="C202:G209"/>
    <mergeCell ref="H202:L209"/>
    <mergeCell ref="M202:Q209"/>
    <mergeCell ref="R202:V209"/>
    <mergeCell ref="W202:X209"/>
    <mergeCell ref="B204:B205"/>
    <mergeCell ref="B206:B207"/>
    <mergeCell ref="B208:B209"/>
    <mergeCell ref="A194:A201"/>
    <mergeCell ref="B194:B195"/>
    <mergeCell ref="C194:G201"/>
    <mergeCell ref="H194:L201"/>
    <mergeCell ref="M194:Q201"/>
    <mergeCell ref="R194:V201"/>
    <mergeCell ref="W194:X201"/>
    <mergeCell ref="B196:B197"/>
    <mergeCell ref="B198:B199"/>
    <mergeCell ref="B200:B201"/>
    <mergeCell ref="A186:A193"/>
    <mergeCell ref="B186:B187"/>
    <mergeCell ref="C186:G193"/>
    <mergeCell ref="H186:L193"/>
    <mergeCell ref="M186:Q193"/>
    <mergeCell ref="R186:V193"/>
    <mergeCell ref="W186:X193"/>
    <mergeCell ref="B188:B189"/>
    <mergeCell ref="B190:B191"/>
    <mergeCell ref="B192:B193"/>
    <mergeCell ref="A181:A185"/>
    <mergeCell ref="B181:B185"/>
    <mergeCell ref="C181:G181"/>
    <mergeCell ref="H181:L181"/>
    <mergeCell ref="M181:Q181"/>
    <mergeCell ref="R181:V181"/>
    <mergeCell ref="W181:X185"/>
    <mergeCell ref="C182:D182"/>
    <mergeCell ref="H182:I182"/>
    <mergeCell ref="M182:N182"/>
    <mergeCell ref="R182:S182"/>
    <mergeCell ref="C183:G183"/>
    <mergeCell ref="H183:L183"/>
    <mergeCell ref="M183:Q183"/>
    <mergeCell ref="R183:V183"/>
    <mergeCell ref="C184:G184"/>
    <mergeCell ref="H184:L184"/>
    <mergeCell ref="M184:Q184"/>
    <mergeCell ref="R184:V184"/>
    <mergeCell ref="C185:V185"/>
    <mergeCell ref="M177:M178"/>
    <mergeCell ref="N177:N178"/>
    <mergeCell ref="O177:O178"/>
    <mergeCell ref="P177:P178"/>
    <mergeCell ref="Q177:Q178"/>
    <mergeCell ref="R177:R178"/>
    <mergeCell ref="S177:S178"/>
    <mergeCell ref="U178:V178"/>
    <mergeCell ref="A180:X180"/>
    <mergeCell ref="D177:D178"/>
    <mergeCell ref="E177:E178"/>
    <mergeCell ref="F177:F178"/>
    <mergeCell ref="G177:G178"/>
    <mergeCell ref="H177:H178"/>
    <mergeCell ref="I177:I178"/>
    <mergeCell ref="J177:J178"/>
    <mergeCell ref="K177:K178"/>
    <mergeCell ref="L177:L178"/>
    <mergeCell ref="Y166:Y220"/>
    <mergeCell ref="A168:B169"/>
    <mergeCell ref="C168:T168"/>
    <mergeCell ref="C169:E169"/>
    <mergeCell ref="F169:H169"/>
    <mergeCell ref="I169:K169"/>
    <mergeCell ref="L169:N169"/>
    <mergeCell ref="O169:P169"/>
    <mergeCell ref="Q169:R169"/>
    <mergeCell ref="S169:T169"/>
    <mergeCell ref="V169:V174"/>
    <mergeCell ref="W169:X171"/>
    <mergeCell ref="A170:B170"/>
    <mergeCell ref="C170:K170"/>
    <mergeCell ref="L170:N170"/>
    <mergeCell ref="O170:T174"/>
    <mergeCell ref="A171:B174"/>
    <mergeCell ref="C171:N174"/>
    <mergeCell ref="W172:X174"/>
    <mergeCell ref="A175:T175"/>
    <mergeCell ref="A176:B176"/>
    <mergeCell ref="C176:R176"/>
    <mergeCell ref="A177:B178"/>
    <mergeCell ref="C177:C178"/>
    <mergeCell ref="C163:X163"/>
    <mergeCell ref="C164:G165"/>
    <mergeCell ref="H164:L165"/>
    <mergeCell ref="Q164:S165"/>
    <mergeCell ref="T164:U165"/>
    <mergeCell ref="V164:V165"/>
    <mergeCell ref="W164:W165"/>
    <mergeCell ref="X164:X165"/>
    <mergeCell ref="A166:X166"/>
    <mergeCell ref="A155:A162"/>
    <mergeCell ref="B155:B156"/>
    <mergeCell ref="C155:G162"/>
    <mergeCell ref="H155:L162"/>
    <mergeCell ref="M155:Q162"/>
    <mergeCell ref="R155:V162"/>
    <mergeCell ref="W155:X162"/>
    <mergeCell ref="B157:B158"/>
    <mergeCell ref="B159:B160"/>
    <mergeCell ref="B161:B162"/>
    <mergeCell ref="A147:A154"/>
    <mergeCell ref="B147:B148"/>
    <mergeCell ref="C147:G154"/>
    <mergeCell ref="H147:L154"/>
    <mergeCell ref="M147:Q154"/>
    <mergeCell ref="R147:V154"/>
    <mergeCell ref="W147:X154"/>
    <mergeCell ref="B149:B150"/>
    <mergeCell ref="B151:B152"/>
    <mergeCell ref="B153:B154"/>
    <mergeCell ref="A139:A146"/>
    <mergeCell ref="B139:B140"/>
    <mergeCell ref="C139:G146"/>
    <mergeCell ref="H139:L146"/>
    <mergeCell ref="M139:Q146"/>
    <mergeCell ref="R139:V146"/>
    <mergeCell ref="W139:X146"/>
    <mergeCell ref="B141:B142"/>
    <mergeCell ref="B143:B144"/>
    <mergeCell ref="B145:B146"/>
    <mergeCell ref="A131:A138"/>
    <mergeCell ref="B131:B132"/>
    <mergeCell ref="C131:G138"/>
    <mergeCell ref="H131:L138"/>
    <mergeCell ref="M131:Q138"/>
    <mergeCell ref="R131:V138"/>
    <mergeCell ref="W131:X138"/>
    <mergeCell ref="B133:B134"/>
    <mergeCell ref="B135:B136"/>
    <mergeCell ref="B137:B138"/>
    <mergeCell ref="A125:X125"/>
    <mergeCell ref="A126:A130"/>
    <mergeCell ref="B126:B130"/>
    <mergeCell ref="C126:G126"/>
    <mergeCell ref="H126:L126"/>
    <mergeCell ref="M126:Q126"/>
    <mergeCell ref="R126:V126"/>
    <mergeCell ref="W126:X130"/>
    <mergeCell ref="C127:D127"/>
    <mergeCell ref="H127:I127"/>
    <mergeCell ref="M127:N127"/>
    <mergeCell ref="R127:S127"/>
    <mergeCell ref="C128:G128"/>
    <mergeCell ref="H128:L128"/>
    <mergeCell ref="M128:Q128"/>
    <mergeCell ref="R128:V128"/>
    <mergeCell ref="C129:G129"/>
    <mergeCell ref="H129:L129"/>
    <mergeCell ref="M129:Q129"/>
    <mergeCell ref="R129:V129"/>
    <mergeCell ref="C130:V130"/>
    <mergeCell ref="L122:L123"/>
    <mergeCell ref="M122:M123"/>
    <mergeCell ref="N122:N123"/>
    <mergeCell ref="O122:O123"/>
    <mergeCell ref="P122:P123"/>
    <mergeCell ref="Q122:Q123"/>
    <mergeCell ref="R122:R123"/>
    <mergeCell ref="S122:S123"/>
    <mergeCell ref="U123:V123"/>
    <mergeCell ref="C122:C123"/>
    <mergeCell ref="D122:D123"/>
    <mergeCell ref="E122:E123"/>
    <mergeCell ref="F122:F123"/>
    <mergeCell ref="G122:G123"/>
    <mergeCell ref="H122:H123"/>
    <mergeCell ref="I122:I123"/>
    <mergeCell ref="J122:J123"/>
    <mergeCell ref="K122:K123"/>
    <mergeCell ref="A111:X111"/>
    <mergeCell ref="Y111:Y165"/>
    <mergeCell ref="A113:B114"/>
    <mergeCell ref="C113:T113"/>
    <mergeCell ref="C114:E114"/>
    <mergeCell ref="F114:H114"/>
    <mergeCell ref="I114:K114"/>
    <mergeCell ref="L114:N114"/>
    <mergeCell ref="O114:P114"/>
    <mergeCell ref="Q114:R114"/>
    <mergeCell ref="S114:T114"/>
    <mergeCell ref="V114:V119"/>
    <mergeCell ref="W114:X116"/>
    <mergeCell ref="A115:B115"/>
    <mergeCell ref="C115:K115"/>
    <mergeCell ref="L115:N115"/>
    <mergeCell ref="O115:T119"/>
    <mergeCell ref="A116:B119"/>
    <mergeCell ref="C116:N119"/>
    <mergeCell ref="W117:X119"/>
    <mergeCell ref="A120:T120"/>
    <mergeCell ref="A121:B121"/>
    <mergeCell ref="C121:R121"/>
    <mergeCell ref="A122:B123"/>
    <mergeCell ref="A100:A107"/>
    <mergeCell ref="B100:B101"/>
    <mergeCell ref="C100:G107"/>
    <mergeCell ref="H100:L107"/>
    <mergeCell ref="M100:Q107"/>
    <mergeCell ref="R100:V107"/>
    <mergeCell ref="W100:X107"/>
    <mergeCell ref="B102:B103"/>
    <mergeCell ref="B104:B105"/>
    <mergeCell ref="B106:B107"/>
    <mergeCell ref="A92:A99"/>
    <mergeCell ref="B92:B93"/>
    <mergeCell ref="C92:G99"/>
    <mergeCell ref="H92:L99"/>
    <mergeCell ref="M92:Q99"/>
    <mergeCell ref="R92:V99"/>
    <mergeCell ref="W92:X99"/>
    <mergeCell ref="B94:B95"/>
    <mergeCell ref="B96:B97"/>
    <mergeCell ref="B98:B99"/>
    <mergeCell ref="A84:A91"/>
    <mergeCell ref="B84:B85"/>
    <mergeCell ref="C84:G91"/>
    <mergeCell ref="H84:L91"/>
    <mergeCell ref="M84:Q91"/>
    <mergeCell ref="R84:V91"/>
    <mergeCell ref="W84:X91"/>
    <mergeCell ref="B86:B87"/>
    <mergeCell ref="B88:B89"/>
    <mergeCell ref="B90:B91"/>
    <mergeCell ref="A76:A83"/>
    <mergeCell ref="B76:B77"/>
    <mergeCell ref="C76:G83"/>
    <mergeCell ref="H76:L83"/>
    <mergeCell ref="M76:Q83"/>
    <mergeCell ref="R76:V83"/>
    <mergeCell ref="W76:X83"/>
    <mergeCell ref="B78:B79"/>
    <mergeCell ref="B80:B81"/>
    <mergeCell ref="B82:B83"/>
    <mergeCell ref="S67:S68"/>
    <mergeCell ref="U68:V68"/>
    <mergeCell ref="A70:X70"/>
    <mergeCell ref="A71:A75"/>
    <mergeCell ref="B71:B75"/>
    <mergeCell ref="C71:G71"/>
    <mergeCell ref="H71:L71"/>
    <mergeCell ref="M71:Q71"/>
    <mergeCell ref="R71:V71"/>
    <mergeCell ref="W71:X75"/>
    <mergeCell ref="C72:D72"/>
    <mergeCell ref="H72:I72"/>
    <mergeCell ref="M72:N72"/>
    <mergeCell ref="R72:S72"/>
    <mergeCell ref="C73:G73"/>
    <mergeCell ref="H73:L73"/>
    <mergeCell ref="M73:Q73"/>
    <mergeCell ref="R73:V73"/>
    <mergeCell ref="C74:G74"/>
    <mergeCell ref="H74:L74"/>
    <mergeCell ref="M74:Q74"/>
    <mergeCell ref="R74:V74"/>
    <mergeCell ref="C75:V75"/>
    <mergeCell ref="O60:T64"/>
    <mergeCell ref="A61:B64"/>
    <mergeCell ref="C61:N64"/>
    <mergeCell ref="W62:X64"/>
    <mergeCell ref="A65:T65"/>
    <mergeCell ref="A66:B66"/>
    <mergeCell ref="C66:R66"/>
    <mergeCell ref="A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R67:R68"/>
    <mergeCell ref="A56:X56"/>
    <mergeCell ref="Y56:Y110"/>
    <mergeCell ref="A58:B59"/>
    <mergeCell ref="C58:T58"/>
    <mergeCell ref="C59:E59"/>
    <mergeCell ref="F59:H59"/>
    <mergeCell ref="I59:K59"/>
    <mergeCell ref="L59:N59"/>
    <mergeCell ref="O59:P59"/>
    <mergeCell ref="Q59:R59"/>
    <mergeCell ref="S59:T59"/>
    <mergeCell ref="V59:V64"/>
    <mergeCell ref="W59:X61"/>
    <mergeCell ref="A60:B60"/>
    <mergeCell ref="C60:K60"/>
    <mergeCell ref="L60:N60"/>
    <mergeCell ref="C108:X108"/>
    <mergeCell ref="C109:G110"/>
    <mergeCell ref="H109:L110"/>
    <mergeCell ref="Q109:S110"/>
    <mergeCell ref="T109:U110"/>
    <mergeCell ref="V109:V110"/>
    <mergeCell ref="W109:W110"/>
    <mergeCell ref="X109:X110"/>
    <mergeCell ref="AX7:AY9"/>
    <mergeCell ref="AW4:AW9"/>
    <mergeCell ref="AX4:AY6"/>
    <mergeCell ref="A5:B5"/>
    <mergeCell ref="C5:K5"/>
    <mergeCell ref="L5:N5"/>
    <mergeCell ref="O5:T9"/>
    <mergeCell ref="Z5:AC5"/>
    <mergeCell ref="AD5:AL5"/>
    <mergeCell ref="AM5:AO5"/>
    <mergeCell ref="AP5:AU9"/>
    <mergeCell ref="W7:X9"/>
    <mergeCell ref="A3:B4"/>
    <mergeCell ref="C3:T3"/>
    <mergeCell ref="Z3:AC4"/>
    <mergeCell ref="AD3:AU3"/>
    <mergeCell ref="C4:E4"/>
    <mergeCell ref="F4:H4"/>
    <mergeCell ref="I4:K4"/>
    <mergeCell ref="L4:N4"/>
    <mergeCell ref="AG4:AI4"/>
    <mergeCell ref="AJ4:AL4"/>
    <mergeCell ref="AM4:AO4"/>
    <mergeCell ref="AP4:AQ4"/>
    <mergeCell ref="AR4:AS4"/>
    <mergeCell ref="AT4:AU4"/>
    <mergeCell ref="O4:P4"/>
    <mergeCell ref="Q4:R4"/>
    <mergeCell ref="S4:T4"/>
    <mergeCell ref="V4:V9"/>
    <mergeCell ref="W4:X6"/>
    <mergeCell ref="AD4:AF4"/>
    <mergeCell ref="Z6:AC9"/>
    <mergeCell ref="AD6:AO9"/>
    <mergeCell ref="AV13:AW13"/>
    <mergeCell ref="A15:X15"/>
    <mergeCell ref="Z15:AY15"/>
    <mergeCell ref="O12:O13"/>
    <mergeCell ref="R12:R13"/>
    <mergeCell ref="Q12:Q13"/>
    <mergeCell ref="S12:S13"/>
    <mergeCell ref="AD12:AD13"/>
    <mergeCell ref="AE12:AE13"/>
    <mergeCell ref="AF12:AF13"/>
    <mergeCell ref="AG12:AG13"/>
    <mergeCell ref="AR12:AR13"/>
    <mergeCell ref="AS12:AS13"/>
    <mergeCell ref="AH12:AH13"/>
    <mergeCell ref="AI12:AI13"/>
    <mergeCell ref="AJ12:AJ13"/>
    <mergeCell ref="AK12:AK13"/>
    <mergeCell ref="I12:I13"/>
    <mergeCell ref="J12:J13"/>
    <mergeCell ref="K12:K13"/>
    <mergeCell ref="L12:L13"/>
    <mergeCell ref="Z12:AB13"/>
    <mergeCell ref="AC12:AC13"/>
    <mergeCell ref="P12:P13"/>
    <mergeCell ref="AP12:AP13"/>
    <mergeCell ref="AQ12:AQ13"/>
    <mergeCell ref="Y1:Y55"/>
    <mergeCell ref="A11:B11"/>
    <mergeCell ref="C12:C13"/>
    <mergeCell ref="M12:M13"/>
    <mergeCell ref="AL12:AL13"/>
    <mergeCell ref="AM12:AM13"/>
    <mergeCell ref="U13:V13"/>
    <mergeCell ref="N12:N13"/>
    <mergeCell ref="A10:T10"/>
    <mergeCell ref="Z10:AU10"/>
    <mergeCell ref="C11:R11"/>
    <mergeCell ref="AC11:AS11"/>
    <mergeCell ref="A12:B13"/>
    <mergeCell ref="D12:D13"/>
    <mergeCell ref="E12:E13"/>
    <mergeCell ref="F12:F13"/>
    <mergeCell ref="G12:G13"/>
    <mergeCell ref="H12:H13"/>
    <mergeCell ref="A6:B9"/>
    <mergeCell ref="C6:N9"/>
    <mergeCell ref="A1:X1"/>
    <mergeCell ref="Z1:AY1"/>
    <mergeCell ref="A16:A20"/>
    <mergeCell ref="B16:B20"/>
    <mergeCell ref="Z16:Z20"/>
    <mergeCell ref="AN12:AN13"/>
    <mergeCell ref="AO12:AO13"/>
    <mergeCell ref="C17:D17"/>
    <mergeCell ref="H17:I17"/>
    <mergeCell ref="M17:N17"/>
    <mergeCell ref="R17:S17"/>
    <mergeCell ref="C20:V20"/>
    <mergeCell ref="C19:G19"/>
    <mergeCell ref="H19:L19"/>
    <mergeCell ref="M19:Q19"/>
    <mergeCell ref="R19:V19"/>
    <mergeCell ref="AS18:AW18"/>
    <mergeCell ref="AD17:AE17"/>
    <mergeCell ref="AI17:AJ17"/>
    <mergeCell ref="AN17:AO17"/>
    <mergeCell ref="AD20:AW20"/>
    <mergeCell ref="AS17:AT17"/>
    <mergeCell ref="W16:X20"/>
    <mergeCell ref="AD16:AH16"/>
    <mergeCell ref="AI16:AM16"/>
    <mergeCell ref="AN16:AR16"/>
    <mergeCell ref="AS16:AW16"/>
    <mergeCell ref="AD19:AH19"/>
    <mergeCell ref="AI19:AM19"/>
    <mergeCell ref="AN19:AR19"/>
    <mergeCell ref="AS19:AW19"/>
    <mergeCell ref="M21:Q28"/>
    <mergeCell ref="R21:V28"/>
    <mergeCell ref="C18:G18"/>
    <mergeCell ref="H18:L18"/>
    <mergeCell ref="M18:Q18"/>
    <mergeCell ref="R18:V18"/>
    <mergeCell ref="AD18:AH18"/>
    <mergeCell ref="AI18:AM18"/>
    <mergeCell ref="AN18:AR18"/>
    <mergeCell ref="AA16:AC20"/>
    <mergeCell ref="M16:Q16"/>
    <mergeCell ref="H16:L16"/>
    <mergeCell ref="C16:G16"/>
    <mergeCell ref="R16:V16"/>
    <mergeCell ref="A29:A36"/>
    <mergeCell ref="B29:B30"/>
    <mergeCell ref="C29:G36"/>
    <mergeCell ref="H29:L36"/>
    <mergeCell ref="M29:Q36"/>
    <mergeCell ref="R29:V36"/>
    <mergeCell ref="AS21:AW28"/>
    <mergeCell ref="AX21:AY28"/>
    <mergeCell ref="B23:B24"/>
    <mergeCell ref="AA23:AC24"/>
    <mergeCell ref="B25:B26"/>
    <mergeCell ref="AA25:AC26"/>
    <mergeCell ref="B27:B28"/>
    <mergeCell ref="AA27:AC28"/>
    <mergeCell ref="W21:X28"/>
    <mergeCell ref="Z21:Z28"/>
    <mergeCell ref="AA21:AC22"/>
    <mergeCell ref="AD21:AH28"/>
    <mergeCell ref="AI21:AM28"/>
    <mergeCell ref="AN21:AR28"/>
    <mergeCell ref="A21:A28"/>
    <mergeCell ref="B21:B22"/>
    <mergeCell ref="C21:G28"/>
    <mergeCell ref="H21:L28"/>
    <mergeCell ref="AS29:AW36"/>
    <mergeCell ref="AX29:AY36"/>
    <mergeCell ref="B31:B32"/>
    <mergeCell ref="AA31:AC32"/>
    <mergeCell ref="B33:B34"/>
    <mergeCell ref="AA33:AC34"/>
    <mergeCell ref="B35:B36"/>
    <mergeCell ref="AA35:AC36"/>
    <mergeCell ref="W29:X36"/>
    <mergeCell ref="Z29:Z36"/>
    <mergeCell ref="AA29:AC30"/>
    <mergeCell ref="AD29:AH36"/>
    <mergeCell ref="AI29:AM36"/>
    <mergeCell ref="AN29:AR36"/>
    <mergeCell ref="A45:A52"/>
    <mergeCell ref="B45:B46"/>
    <mergeCell ref="C45:G52"/>
    <mergeCell ref="H45:L52"/>
    <mergeCell ref="M45:Q52"/>
    <mergeCell ref="R45:V52"/>
    <mergeCell ref="AS37:AW44"/>
    <mergeCell ref="AX37:AY44"/>
    <mergeCell ref="B39:B40"/>
    <mergeCell ref="AA39:AC40"/>
    <mergeCell ref="B41:B42"/>
    <mergeCell ref="AA41:AC42"/>
    <mergeCell ref="B43:B44"/>
    <mergeCell ref="AA43:AC44"/>
    <mergeCell ref="W37:X44"/>
    <mergeCell ref="Z37:Z44"/>
    <mergeCell ref="AA37:AC38"/>
    <mergeCell ref="AD37:AH44"/>
    <mergeCell ref="AI37:AM44"/>
    <mergeCell ref="AN37:AR44"/>
    <mergeCell ref="A37:A44"/>
    <mergeCell ref="B37:B38"/>
    <mergeCell ref="C37:G44"/>
    <mergeCell ref="H37:L44"/>
    <mergeCell ref="B47:B48"/>
    <mergeCell ref="AA47:AC48"/>
    <mergeCell ref="B49:B50"/>
    <mergeCell ref="AA49:AC50"/>
    <mergeCell ref="B51:B52"/>
    <mergeCell ref="AA51:AC52"/>
    <mergeCell ref="W45:X52"/>
    <mergeCell ref="Z45:Z52"/>
    <mergeCell ref="AA45:AC46"/>
    <mergeCell ref="AX16:AY20"/>
    <mergeCell ref="AI54:AM55"/>
    <mergeCell ref="AR54:AT55"/>
    <mergeCell ref="AU54:AV55"/>
    <mergeCell ref="AW54:AW55"/>
    <mergeCell ref="AX54:AX55"/>
    <mergeCell ref="AY54:AY55"/>
    <mergeCell ref="C53:X53"/>
    <mergeCell ref="AD53:AY53"/>
    <mergeCell ref="C54:G55"/>
    <mergeCell ref="H54:L55"/>
    <mergeCell ref="Q54:S55"/>
    <mergeCell ref="T54:U55"/>
    <mergeCell ref="V54:V55"/>
    <mergeCell ref="W54:W55"/>
    <mergeCell ref="X54:X55"/>
    <mergeCell ref="AD54:AH55"/>
    <mergeCell ref="AS45:AW52"/>
    <mergeCell ref="AX45:AY52"/>
    <mergeCell ref="AD45:AH52"/>
    <mergeCell ref="AI45:AM52"/>
    <mergeCell ref="AN45:AR52"/>
    <mergeCell ref="M37:Q44"/>
    <mergeCell ref="R37:V44"/>
  </mergeCells>
  <phoneticPr fontId="8"/>
  <conditionalFormatting sqref="V2 X2">
    <cfRule type="cellIs" dxfId="594" priority="66" stopIfTrue="1" operator="equal">
      <formula>""</formula>
    </cfRule>
  </conditionalFormatting>
  <conditionalFormatting sqref="B21:B22">
    <cfRule type="containsText" dxfId="593" priority="62" stopIfTrue="1" operator="containsText" text="対応不要">
      <formula>NOT(ISERROR(SEARCH("対応不要",B21)))</formula>
    </cfRule>
  </conditionalFormatting>
  <conditionalFormatting sqref="B23:B28">
    <cfRule type="containsText" dxfId="592" priority="61" stopIfTrue="1" operator="containsText" text="対応不要">
      <formula>NOT(ISERROR(SEARCH("対応不要",B23)))</formula>
    </cfRule>
  </conditionalFormatting>
  <conditionalFormatting sqref="B29:B30">
    <cfRule type="containsText" dxfId="591" priority="60" stopIfTrue="1" operator="containsText" text="対応不要">
      <formula>NOT(ISERROR(SEARCH("対応不要",B29)))</formula>
    </cfRule>
  </conditionalFormatting>
  <conditionalFormatting sqref="B31:B36">
    <cfRule type="containsText" dxfId="590" priority="59" stopIfTrue="1" operator="containsText" text="対応不要">
      <formula>NOT(ISERROR(SEARCH("対応不要",B31)))</formula>
    </cfRule>
  </conditionalFormatting>
  <conditionalFormatting sqref="B37:B38">
    <cfRule type="containsText" dxfId="589" priority="58" stopIfTrue="1" operator="containsText" text="対応不要">
      <formula>NOT(ISERROR(SEARCH("対応不要",B37)))</formula>
    </cfRule>
  </conditionalFormatting>
  <conditionalFormatting sqref="B39:B44">
    <cfRule type="containsText" dxfId="588" priority="57" stopIfTrue="1" operator="containsText" text="対応不要">
      <formula>NOT(ISERROR(SEARCH("対応不要",B39)))</formula>
    </cfRule>
  </conditionalFormatting>
  <conditionalFormatting sqref="B45:B46">
    <cfRule type="containsText" dxfId="587" priority="56" stopIfTrue="1" operator="containsText" text="対応不要">
      <formula>NOT(ISERROR(SEARCH("対応不要",B45)))</formula>
    </cfRule>
  </conditionalFormatting>
  <conditionalFormatting sqref="B47:B52">
    <cfRule type="containsText" dxfId="586" priority="55" stopIfTrue="1" operator="containsText" text="対応不要">
      <formula>NOT(ISERROR(SEARCH("対応不要",B47)))</formula>
    </cfRule>
  </conditionalFormatting>
  <conditionalFormatting sqref="A21:A52">
    <cfRule type="cellIs" dxfId="585" priority="47" stopIfTrue="1" operator="equal">
      <formula>""</formula>
    </cfRule>
  </conditionalFormatting>
  <conditionalFormatting sqref="C19:V19">
    <cfRule type="containsBlanks" dxfId="584" priority="43">
      <formula>LEN(TRIM(C19))=0</formula>
    </cfRule>
  </conditionalFormatting>
  <conditionalFormatting sqref="AD19:AW19">
    <cfRule type="containsBlanks" dxfId="583" priority="42">
      <formula>LEN(TRIM(AD19))=0</formula>
    </cfRule>
  </conditionalFormatting>
  <conditionalFormatting sqref="C18:V18">
    <cfRule type="containsBlanks" dxfId="582" priority="41">
      <formula>LEN(TRIM(C18))=0</formula>
    </cfRule>
  </conditionalFormatting>
  <conditionalFormatting sqref="C17:D17 F17 H17:I17 K17 M17:N17 P17 R17:S17 U17">
    <cfRule type="containsBlanks" dxfId="581" priority="40">
      <formula>LEN(TRIM(C17))=0</formula>
    </cfRule>
  </conditionalFormatting>
  <conditionalFormatting sqref="C127:D127 F127 H127:I127 K127 M127:N127 P127 R127:S127 U127">
    <cfRule type="containsBlanks" dxfId="580" priority="14">
      <formula>LEN(TRIM(C127))=0</formula>
    </cfRule>
  </conditionalFormatting>
  <conditionalFormatting sqref="V57 X57">
    <cfRule type="cellIs" dxfId="579" priority="39" stopIfTrue="1" operator="equal">
      <formula>""</formula>
    </cfRule>
  </conditionalFormatting>
  <conditionalFormatting sqref="B76:B77">
    <cfRule type="containsText" dxfId="578" priority="38" stopIfTrue="1" operator="containsText" text="対応不要">
      <formula>NOT(ISERROR(SEARCH("対応不要",B76)))</formula>
    </cfRule>
  </conditionalFormatting>
  <conditionalFormatting sqref="B78:B83">
    <cfRule type="containsText" dxfId="577" priority="37" stopIfTrue="1" operator="containsText" text="対応不要">
      <formula>NOT(ISERROR(SEARCH("対応不要",B78)))</formula>
    </cfRule>
  </conditionalFormatting>
  <conditionalFormatting sqref="B84:B85">
    <cfRule type="containsText" dxfId="576" priority="36" stopIfTrue="1" operator="containsText" text="対応不要">
      <formula>NOT(ISERROR(SEARCH("対応不要",B84)))</formula>
    </cfRule>
  </conditionalFormatting>
  <conditionalFormatting sqref="B86:B91">
    <cfRule type="containsText" dxfId="575" priority="35" stopIfTrue="1" operator="containsText" text="対応不要">
      <formula>NOT(ISERROR(SEARCH("対応不要",B86)))</formula>
    </cfRule>
  </conditionalFormatting>
  <conditionalFormatting sqref="B92:B93">
    <cfRule type="containsText" dxfId="574" priority="34" stopIfTrue="1" operator="containsText" text="対応不要">
      <formula>NOT(ISERROR(SEARCH("対応不要",B92)))</formula>
    </cfRule>
  </conditionalFormatting>
  <conditionalFormatting sqref="B94:B99">
    <cfRule type="containsText" dxfId="573" priority="33" stopIfTrue="1" operator="containsText" text="対応不要">
      <formula>NOT(ISERROR(SEARCH("対応不要",B94)))</formula>
    </cfRule>
  </conditionalFormatting>
  <conditionalFormatting sqref="B100:B101">
    <cfRule type="containsText" dxfId="572" priority="32" stopIfTrue="1" operator="containsText" text="対応不要">
      <formula>NOT(ISERROR(SEARCH("対応不要",B100)))</formula>
    </cfRule>
  </conditionalFormatting>
  <conditionalFormatting sqref="B102:B107">
    <cfRule type="containsText" dxfId="571" priority="31" stopIfTrue="1" operator="containsText" text="対応不要">
      <formula>NOT(ISERROR(SEARCH("対応不要",B102)))</formula>
    </cfRule>
  </conditionalFormatting>
  <conditionalFormatting sqref="A76:A107">
    <cfRule type="cellIs" dxfId="570" priority="30" stopIfTrue="1" operator="equal">
      <formula>""</formula>
    </cfRule>
  </conditionalFormatting>
  <conditionalFormatting sqref="C74:V74">
    <cfRule type="containsBlanks" dxfId="569" priority="29">
      <formula>LEN(TRIM(C74))=0</formula>
    </cfRule>
  </conditionalFormatting>
  <conditionalFormatting sqref="C73:V73">
    <cfRule type="containsBlanks" dxfId="568" priority="28">
      <formula>LEN(TRIM(C73))=0</formula>
    </cfRule>
  </conditionalFormatting>
  <conditionalFormatting sqref="C72:D72 F72 H72:I72 K72 M72:N72 P72 R72:S72 U72">
    <cfRule type="containsBlanks" dxfId="567" priority="27">
      <formula>LEN(TRIM(C72))=0</formula>
    </cfRule>
  </conditionalFormatting>
  <conditionalFormatting sqref="V112 X112">
    <cfRule type="cellIs" dxfId="566" priority="26" stopIfTrue="1" operator="equal">
      <formula>""</formula>
    </cfRule>
  </conditionalFormatting>
  <conditionalFormatting sqref="B131:B132">
    <cfRule type="containsText" dxfId="565" priority="25" stopIfTrue="1" operator="containsText" text="対応不要">
      <formula>NOT(ISERROR(SEARCH("対応不要",B131)))</formula>
    </cfRule>
  </conditionalFormatting>
  <conditionalFormatting sqref="B133:B138">
    <cfRule type="containsText" dxfId="564" priority="24" stopIfTrue="1" operator="containsText" text="対応不要">
      <formula>NOT(ISERROR(SEARCH("対応不要",B133)))</formula>
    </cfRule>
  </conditionalFormatting>
  <conditionalFormatting sqref="B139:B140">
    <cfRule type="containsText" dxfId="563" priority="23" stopIfTrue="1" operator="containsText" text="対応不要">
      <formula>NOT(ISERROR(SEARCH("対応不要",B139)))</formula>
    </cfRule>
  </conditionalFormatting>
  <conditionalFormatting sqref="B141:B146">
    <cfRule type="containsText" dxfId="562" priority="22" stopIfTrue="1" operator="containsText" text="対応不要">
      <formula>NOT(ISERROR(SEARCH("対応不要",B141)))</formula>
    </cfRule>
  </conditionalFormatting>
  <conditionalFormatting sqref="B147:B148">
    <cfRule type="containsText" dxfId="561" priority="21" stopIfTrue="1" operator="containsText" text="対応不要">
      <formula>NOT(ISERROR(SEARCH("対応不要",B147)))</formula>
    </cfRule>
  </conditionalFormatting>
  <conditionalFormatting sqref="B149:B154">
    <cfRule type="containsText" dxfId="560" priority="20" stopIfTrue="1" operator="containsText" text="対応不要">
      <formula>NOT(ISERROR(SEARCH("対応不要",B149)))</formula>
    </cfRule>
  </conditionalFormatting>
  <conditionalFormatting sqref="B155:B156">
    <cfRule type="containsText" dxfId="559" priority="19" stopIfTrue="1" operator="containsText" text="対応不要">
      <formula>NOT(ISERROR(SEARCH("対応不要",B155)))</formula>
    </cfRule>
  </conditionalFormatting>
  <conditionalFormatting sqref="B157:B162">
    <cfRule type="containsText" dxfId="558" priority="18" stopIfTrue="1" operator="containsText" text="対応不要">
      <formula>NOT(ISERROR(SEARCH("対応不要",B157)))</formula>
    </cfRule>
  </conditionalFormatting>
  <conditionalFormatting sqref="A131:A162">
    <cfRule type="cellIs" dxfId="557" priority="17" stopIfTrue="1" operator="equal">
      <formula>""</formula>
    </cfRule>
  </conditionalFormatting>
  <conditionalFormatting sqref="C129:V129">
    <cfRule type="containsBlanks" dxfId="556" priority="16">
      <formula>LEN(TRIM(C129))=0</formula>
    </cfRule>
  </conditionalFormatting>
  <conditionalFormatting sqref="C128:V128">
    <cfRule type="containsBlanks" dxfId="555" priority="15">
      <formula>LEN(TRIM(C128))=0</formula>
    </cfRule>
  </conditionalFormatting>
  <conditionalFormatting sqref="C182:D182 F182 H182:I182 K182 M182:N182 P182 R182:S182 U182">
    <cfRule type="containsBlanks" dxfId="554" priority="1">
      <formula>LEN(TRIM(C182))=0</formula>
    </cfRule>
  </conditionalFormatting>
  <conditionalFormatting sqref="V167 X167">
    <cfRule type="cellIs" dxfId="553" priority="13" stopIfTrue="1" operator="equal">
      <formula>""</formula>
    </cfRule>
  </conditionalFormatting>
  <conditionalFormatting sqref="B186:B187">
    <cfRule type="containsText" dxfId="552" priority="12" stopIfTrue="1" operator="containsText" text="対応不要">
      <formula>NOT(ISERROR(SEARCH("対応不要",B186)))</formula>
    </cfRule>
  </conditionalFormatting>
  <conditionalFormatting sqref="B188:B193">
    <cfRule type="containsText" dxfId="551" priority="11" stopIfTrue="1" operator="containsText" text="対応不要">
      <formula>NOT(ISERROR(SEARCH("対応不要",B188)))</formula>
    </cfRule>
  </conditionalFormatting>
  <conditionalFormatting sqref="B194:B195">
    <cfRule type="containsText" dxfId="550" priority="10" stopIfTrue="1" operator="containsText" text="対応不要">
      <formula>NOT(ISERROR(SEARCH("対応不要",B194)))</formula>
    </cfRule>
  </conditionalFormatting>
  <conditionalFormatting sqref="B196:B201">
    <cfRule type="containsText" dxfId="549" priority="9" stopIfTrue="1" operator="containsText" text="対応不要">
      <formula>NOT(ISERROR(SEARCH("対応不要",B196)))</formula>
    </cfRule>
  </conditionalFormatting>
  <conditionalFormatting sqref="B202:B203">
    <cfRule type="containsText" dxfId="548" priority="8" stopIfTrue="1" operator="containsText" text="対応不要">
      <formula>NOT(ISERROR(SEARCH("対応不要",B202)))</formula>
    </cfRule>
  </conditionalFormatting>
  <conditionalFormatting sqref="B204:B209">
    <cfRule type="containsText" dxfId="547" priority="7" stopIfTrue="1" operator="containsText" text="対応不要">
      <formula>NOT(ISERROR(SEARCH("対応不要",B204)))</formula>
    </cfRule>
  </conditionalFormatting>
  <conditionalFormatting sqref="B210:B211">
    <cfRule type="containsText" dxfId="546" priority="6" stopIfTrue="1" operator="containsText" text="対応不要">
      <formula>NOT(ISERROR(SEARCH("対応不要",B210)))</formula>
    </cfRule>
  </conditionalFormatting>
  <conditionalFormatting sqref="B212:B217">
    <cfRule type="containsText" dxfId="545" priority="5" stopIfTrue="1" operator="containsText" text="対応不要">
      <formula>NOT(ISERROR(SEARCH("対応不要",B212)))</formula>
    </cfRule>
  </conditionalFormatting>
  <conditionalFormatting sqref="A186:A217">
    <cfRule type="cellIs" dxfId="544" priority="4" stopIfTrue="1" operator="equal">
      <formula>""</formula>
    </cfRule>
  </conditionalFormatting>
  <conditionalFormatting sqref="C184:V184">
    <cfRule type="containsBlanks" dxfId="543" priority="3">
      <formula>LEN(TRIM(C184))=0</formula>
    </cfRule>
  </conditionalFormatting>
  <conditionalFormatting sqref="C183:V183">
    <cfRule type="containsBlanks" dxfId="542" priority="2">
      <formula>LEN(TRIM(C183))=0</formula>
    </cfRule>
  </conditionalFormatting>
  <dataValidations count="8">
    <dataValidation type="list" allowBlank="1" showInputMessage="1" showErrorMessage="1" sqref="B21 B45 B37 B29 B76 B100 B92 B84 B131 B155 B147 B139 B186 B210 B202 B194" xr:uid="{00000000-0002-0000-0400-000000000000}">
      <formula1>$BA$21:$BA$22</formula1>
    </dataValidation>
    <dataValidation type="list" allowBlank="1" showInputMessage="1" showErrorMessage="1" sqref="B23:B24 B47:B48 B39:B40 B31:B32 B78:B79 B102:B103 B94:B95 B86:B87 B133:B134 B157:B158 B149:B150 B141:B142 B188:B189 B212:B213 B204:B205 B196:B197" xr:uid="{00000000-0002-0000-0400-000001000000}">
      <formula1>$BA$23:$BA$24</formula1>
    </dataValidation>
    <dataValidation type="list" allowBlank="1" showInputMessage="1" showErrorMessage="1" sqref="B25:B26 B49:B50 B41:B42 B33:B34 B80:B81 B104:B105 B96:B97 B88:B89 B135:B136 B159:B160 B151:B152 B143:B144 B190:B191 B214:B215 B206:B207 B198:B199" xr:uid="{00000000-0002-0000-0400-000002000000}">
      <formula1>$BA$25:$BA$26</formula1>
    </dataValidation>
    <dataValidation type="list" allowBlank="1" showInputMessage="1" showErrorMessage="1" sqref="B27:B28 B51:B52 B43:B44 B35:B36 B82:B83 B106:B107 B98:B99 B90:B91 B137:B138 B161:B162 B153:B154 B145:B146 B192:B193 B216:B217 B208:B209 B200:B201" xr:uid="{00000000-0002-0000-0400-000003000000}">
      <formula1>$BA$27:$BA$28</formula1>
    </dataValidation>
    <dataValidation type="list" allowBlank="1" showInputMessage="1" showErrorMessage="1" sqref="V2 X2 V57 X57 V112 X112 V167 X167" xr:uid="{F25B42B9-7577-4D6C-BBD9-0D97292250E9}">
      <formula1>$BD$2:$BD$6</formula1>
    </dataValidation>
    <dataValidation type="list" allowBlank="1" showInputMessage="1" showErrorMessage="1" sqref="C17:D17 H17:I17 M17:N17 R17:S17 C72:D72 H72:I72 M72:N72 R72:S72 C127:D127 H127:I127 M127:N127 R127:S127 C182:D182 H182:I182 M182:N182 R182:S182" xr:uid="{F8AD0694-869A-485B-9731-506FF3726FA8}">
      <formula1>$AZ$1:$AZ$31</formula1>
    </dataValidation>
    <dataValidation type="list" allowBlank="1" showInputMessage="1" showErrorMessage="1" sqref="F17 K17 P17 U17 F72 K72 P72 U72 F127 K127 P127 U127 F182 K182 P182 U182" xr:uid="{125128FC-1197-4D40-B8E7-1C3CFA043451}">
      <formula1>$AZ$32:$AZ$38</formula1>
    </dataValidation>
    <dataValidation type="list" allowBlank="1" showInputMessage="1" showErrorMessage="1" sqref="C128:V128 C73:V73 C18:V18 C183:V183" xr:uid="{00000000-0002-0000-0400-000004000000}">
      <formula1>$BA$2:$BA$9</formula1>
    </dataValidation>
  </dataValidations>
  <printOptions horizontalCentered="1" verticalCentered="1"/>
  <pageMargins left="0.39370078740157483" right="0.39370078740157483" top="0.39370078740157483" bottom="0.39370078740157483" header="0" footer="0"/>
  <pageSetup paperSize="9" scale="89" orientation="portrait" r:id="rId1"/>
  <headerFooter>
    <oddHeader>&amp;RⅥ-4</oddHeader>
  </headerFooter>
  <rowBreaks count="3" manualBreakCount="3">
    <brk id="55" max="16383" man="1"/>
    <brk id="110" max="16383" man="1"/>
    <brk id="165" max="16383" man="1"/>
  </rowBreaks>
  <colBreaks count="1" manualBreakCount="1">
    <brk id="25" max="1048575" man="1"/>
  </colBreaks>
  <ignoredErrors>
    <ignoredError sqref="D19:G19 I19:L19 N19:Q19 S19:V19"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Q324"/>
  <sheetViews>
    <sheetView showZeros="0" view="pageBreakPreview" zoomScale="87" zoomScaleNormal="100" zoomScaleSheetLayoutView="87" workbookViewId="0">
      <selection activeCell="W57" sqref="W57"/>
    </sheetView>
  </sheetViews>
  <sheetFormatPr defaultRowHeight="13.5"/>
  <cols>
    <col min="1" max="52" width="4.125" style="77" customWidth="1"/>
    <col min="53" max="53" width="4" style="77" customWidth="1"/>
    <col min="54" max="56" width="9" style="77" customWidth="1"/>
    <col min="57" max="57" width="9" style="77"/>
    <col min="58" max="58" width="12.5" style="142" customWidth="1"/>
    <col min="59" max="59" width="12.25" style="77" bestFit="1" customWidth="1"/>
    <col min="60" max="66" width="9" style="77"/>
    <col min="67" max="67" width="13.75" style="77" customWidth="1"/>
    <col min="68" max="70" width="9" style="77"/>
    <col min="71" max="71" width="10.625" style="77" customWidth="1"/>
    <col min="72" max="75" width="9" style="77"/>
    <col min="76" max="78" width="9" style="1"/>
    <col min="79" max="79" width="10.25" style="1" bestFit="1" customWidth="1"/>
    <col min="80" max="80" width="9" style="1"/>
    <col min="81" max="81" width="16.875" style="1" bestFit="1" customWidth="1"/>
    <col min="82" max="82" width="9.5" style="1" bestFit="1" customWidth="1"/>
    <col min="83" max="83" width="10.375" style="1" bestFit="1" customWidth="1"/>
    <col min="84" max="84" width="10.375" style="77" customWidth="1"/>
    <col min="85" max="85" width="9" style="1"/>
    <col min="86" max="86" width="10.375" style="1" bestFit="1" customWidth="1"/>
    <col min="87" max="87" width="10.125" style="313" bestFit="1" customWidth="1"/>
    <col min="88" max="88" width="9.5" style="313" bestFit="1" customWidth="1"/>
    <col min="89" max="16384" width="9" style="1"/>
  </cols>
  <sheetData>
    <row r="1" spans="1:95" s="3" customFormat="1" ht="24" customHeight="1" thickTop="1" thickBot="1">
      <c r="A1" s="1324" t="s">
        <v>457</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t="s">
        <v>165</v>
      </c>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324"/>
      <c r="BA1" s="75"/>
      <c r="BB1" s="76"/>
      <c r="BC1" s="76"/>
      <c r="BD1" s="76"/>
      <c r="BE1" s="76"/>
      <c r="BF1" s="142"/>
      <c r="BG1" s="76"/>
      <c r="BH1" s="76"/>
      <c r="BI1" s="76"/>
      <c r="BJ1" s="76"/>
      <c r="BK1" s="76"/>
      <c r="BL1" s="76"/>
      <c r="BM1" s="76"/>
      <c r="BN1" s="76"/>
      <c r="BO1" s="76"/>
      <c r="BP1" s="76"/>
      <c r="BQ1" s="76"/>
      <c r="BR1" s="76"/>
      <c r="BS1" s="76"/>
      <c r="BT1" s="76"/>
      <c r="BU1" s="76"/>
      <c r="BV1" s="76"/>
      <c r="BW1" s="76"/>
      <c r="CF1" s="300"/>
      <c r="CH1" s="1880" t="s">
        <v>1876</v>
      </c>
      <c r="CI1" s="1880"/>
      <c r="CJ1" s="1880"/>
      <c r="CK1" s="1880"/>
      <c r="CM1" s="1882" t="s">
        <v>1875</v>
      </c>
      <c r="CN1" s="1882"/>
      <c r="CO1" s="1882"/>
      <c r="CP1" s="1882"/>
    </row>
    <row r="2" spans="1:95" s="3" customFormat="1" ht="24.95" customHeight="1" thickTop="1" thickBot="1">
      <c r="A2" s="534">
        <f>COUNTIFS(K13:K22,"a",H13:H22,"&gt;0")</f>
        <v>0</v>
      </c>
      <c r="B2" s="534">
        <f>COUNTIFS(X13:X22,"a",U13:U22,"&gt;0")</f>
        <v>0</v>
      </c>
      <c r="C2" s="534">
        <f>COUNTIFS(K13:K22,"b",H13:H22,"&gt;0")</f>
        <v>0</v>
      </c>
      <c r="D2" s="534">
        <f>COUNTIFS(X13:X22,"b",U13:U22,"&gt;0")</f>
        <v>0</v>
      </c>
      <c r="E2" s="534">
        <f>COUNTIFS(K13:K22,"c",H13:H22,"&gt;0")</f>
        <v>0</v>
      </c>
      <c r="F2" s="534">
        <f>COUNTIFS(X13:X22,"c",U13:U22,"&gt;0")</f>
        <v>0</v>
      </c>
      <c r="G2" s="534">
        <f>COUNTIFS(K13:K22,"d",H13:H22,"&gt;0")</f>
        <v>0</v>
      </c>
      <c r="H2" s="534">
        <f>COUNTIFS(X13:X22,"d",U13:U22,"&gt;0")</f>
        <v>0</v>
      </c>
      <c r="I2" s="534">
        <f>COUNTIFS(K13:K22,"e",H13:H22,"&gt;0")</f>
        <v>0</v>
      </c>
      <c r="J2" s="534">
        <f>COUNTIFS(X13:X22,"e",U13:U22,"&gt;0")</f>
        <v>0</v>
      </c>
      <c r="K2" s="534">
        <f>COUNTIFS(K13:K22,"f",H13:H22,"&gt;0")</f>
        <v>0</v>
      </c>
      <c r="L2" s="534">
        <f>COUNTIFS(X13:X22,"f",U13:U22,"&gt;0")</f>
        <v>0</v>
      </c>
      <c r="M2" s="534">
        <f>COUNTIFS(K13:K22,"g",H13:H22,"&gt;0")</f>
        <v>0</v>
      </c>
      <c r="N2" s="534">
        <f>COUNTIFS(X13:X22,"g",U13:U22,"&gt;0")</f>
        <v>0</v>
      </c>
      <c r="O2" s="534">
        <f>COUNTIFS(K13:K22,"h",H13:H22,"&gt;0")</f>
        <v>0</v>
      </c>
      <c r="P2" s="534">
        <f>COUNTIFS(X13:X22,"h",U13:U22,"&gt;0")</f>
        <v>0</v>
      </c>
      <c r="Q2" s="534">
        <f>COUNTIFS(K13:K22,"i",H13:H22,"&gt;0")</f>
        <v>0</v>
      </c>
      <c r="R2" s="534">
        <f>COUNTIFS(X13:X22,"i",U13:U22,"&gt;0")</f>
        <v>0</v>
      </c>
      <c r="S2" s="535">
        <f>SUM(A2:R2)</f>
        <v>0</v>
      </c>
      <c r="T2" s="523"/>
      <c r="U2" s="523"/>
      <c r="V2" s="523"/>
      <c r="W2" s="1906" t="s">
        <v>458</v>
      </c>
      <c r="X2" s="1906"/>
      <c r="Y2" s="1906">
        <v>1</v>
      </c>
      <c r="Z2" s="1906"/>
      <c r="AA2" s="534">
        <f>COUNTIFS(AK13:AK22,"a",AH13:AH22,"&gt;0")</f>
        <v>0</v>
      </c>
      <c r="AB2" s="534">
        <f>COUNTIFS(AX13:AX22,"a",AU13:AU22,"&gt;0")</f>
        <v>0</v>
      </c>
      <c r="AC2" s="534">
        <f>COUNTIFS(AK13:AK22,"b",AH13:AH22,"&gt;0")</f>
        <v>0</v>
      </c>
      <c r="AD2" s="534">
        <f>COUNTIFS(AX13:AX22,"b",AU13:AU22,"&gt;0")</f>
        <v>0</v>
      </c>
      <c r="AE2" s="534">
        <f>COUNTIFS(AK13:AK22,"c",AH13:AH22,"&gt;0")</f>
        <v>0</v>
      </c>
      <c r="AF2" s="534">
        <f>COUNTIFS(AX13:AX22,"c",AU13:AU22,"&gt;0")</f>
        <v>0</v>
      </c>
      <c r="AG2" s="534">
        <f>COUNTIFS(AK13:AK22,"d",AH13:AH22,"&gt;0")</f>
        <v>0</v>
      </c>
      <c r="AH2" s="534">
        <f>COUNTIFS(AX13:AX22,"d",AU13:AU22,"&gt;0")</f>
        <v>0</v>
      </c>
      <c r="AI2" s="534">
        <f>COUNTIFS(AK13:AK22,"e",AH13:AH22,"&gt;0")</f>
        <v>0</v>
      </c>
      <c r="AJ2" s="534">
        <f>COUNTIFS(AX13:AX22,"e",AU13:AU22,"&gt;0")</f>
        <v>0</v>
      </c>
      <c r="AK2" s="534">
        <f>COUNTIFS(AK13:AK22,"f",AH13:AH22,"&gt;0")</f>
        <v>0</v>
      </c>
      <c r="AL2" s="534">
        <f>COUNTIFS(AX13:AX22,"f",AU13:AU22,"&gt;0")</f>
        <v>0</v>
      </c>
      <c r="AM2" s="534">
        <f>COUNTIFS(AK13:AK22,"g",AH13:AH22,"&gt;0")</f>
        <v>0</v>
      </c>
      <c r="AN2" s="534">
        <f>COUNTIFS(AX13:AX22,"g",AU13:AU22,"&gt;0")</f>
        <v>0</v>
      </c>
      <c r="AO2" s="534">
        <f>COUNTIFS(AK13:AK22,"h",AH13:AH22,"&gt;0")</f>
        <v>0</v>
      </c>
      <c r="AP2" s="534">
        <f>COUNTIFS(AX13:AX22,"h",AU13:AU22,"&gt;0")</f>
        <v>0</v>
      </c>
      <c r="AQ2" s="534">
        <f>COUNTIFS(AK13:AK22,"i",AH13:AH22,"&gt;0")</f>
        <v>0</v>
      </c>
      <c r="AR2" s="534">
        <f>COUNTIFS(AX13:AX22,"i",AU13:AU22,"&gt;0")</f>
        <v>0</v>
      </c>
      <c r="AS2" s="535">
        <f>SUM(AA2:AR2)</f>
        <v>0</v>
      </c>
      <c r="AT2" s="523"/>
      <c r="AU2" s="523"/>
      <c r="AV2" s="523"/>
      <c r="AW2" s="1906" t="s">
        <v>458</v>
      </c>
      <c r="AX2" s="1906"/>
      <c r="AY2" s="1906">
        <v>1</v>
      </c>
      <c r="AZ2" s="1906"/>
      <c r="BA2" s="8"/>
      <c r="BB2" s="76"/>
      <c r="BC2" s="76"/>
      <c r="BD2" s="76"/>
      <c r="BE2" s="76"/>
      <c r="BF2" s="160" t="s">
        <v>544</v>
      </c>
      <c r="BG2" s="144" t="s">
        <v>552</v>
      </c>
      <c r="BH2" s="144" t="s">
        <v>553</v>
      </c>
      <c r="BI2" s="12"/>
      <c r="BJ2" s="12"/>
      <c r="BK2" s="12"/>
      <c r="BL2" s="12"/>
      <c r="BM2" s="76"/>
      <c r="BN2" s="5"/>
      <c r="BO2" s="5"/>
      <c r="BP2" s="156" t="s">
        <v>116</v>
      </c>
      <c r="BQ2" s="156" t="s">
        <v>557</v>
      </c>
      <c r="BR2" s="156" t="s">
        <v>558</v>
      </c>
      <c r="BS2" s="156" t="s">
        <v>559</v>
      </c>
      <c r="BT2" s="156" t="s">
        <v>560</v>
      </c>
      <c r="BU2" s="8"/>
      <c r="BV2" s="9"/>
      <c r="BW2" s="8"/>
      <c r="BX2" s="10"/>
      <c r="BY2" s="10"/>
      <c r="CC2" s="302" t="s">
        <v>1856</v>
      </c>
      <c r="CD2" s="302" t="s">
        <v>1857</v>
      </c>
      <c r="CE2" s="311" t="s">
        <v>1855</v>
      </c>
      <c r="CF2" s="169" t="s">
        <v>1878</v>
      </c>
      <c r="CH2" s="332" t="s">
        <v>1872</v>
      </c>
      <c r="CI2" s="315" t="s">
        <v>1856</v>
      </c>
      <c r="CJ2" s="315" t="s">
        <v>1857</v>
      </c>
      <c r="CK2" s="314" t="s">
        <v>1855</v>
      </c>
      <c r="CL2" s="150"/>
      <c r="CM2" s="169" t="s">
        <v>1873</v>
      </c>
      <c r="CN2" s="302" t="s">
        <v>1856</v>
      </c>
      <c r="CO2" s="302" t="s">
        <v>1857</v>
      </c>
      <c r="CP2" s="302" t="s">
        <v>1874</v>
      </c>
      <c r="CQ2" s="333" t="s">
        <v>1877</v>
      </c>
    </row>
    <row r="3" spans="1:95" s="54" customFormat="1" ht="24.95" customHeight="1">
      <c r="A3" s="534">
        <f>COUNTIFS(K13:K22,"a",I13:I22,"&gt;0")</f>
        <v>0</v>
      </c>
      <c r="B3" s="534">
        <f>COUNTIFS(X13:X22,"a",V13:V22,"&gt;0")</f>
        <v>0</v>
      </c>
      <c r="C3" s="534">
        <f>COUNTIFS(K13:K22,"b",I13:I22,"&gt;0")</f>
        <v>0</v>
      </c>
      <c r="D3" s="534">
        <f>COUNTIFS(X13:X22,"b",V13:V22,"&gt;0")</f>
        <v>0</v>
      </c>
      <c r="E3" s="534">
        <f>COUNTIFS(K13:K22,"c",I13:I22,"&gt;0")</f>
        <v>0</v>
      </c>
      <c r="F3" s="534">
        <f>COUNTIFS(X13:X22,"c",V13:V22,"&gt;0")</f>
        <v>0</v>
      </c>
      <c r="G3" s="534">
        <f>COUNTIFS(K13:K22,"d",I13:I22,"&gt;0")</f>
        <v>0</v>
      </c>
      <c r="H3" s="534">
        <f>COUNTIFS(X13:X22,"d",V13:V22,"&gt;0")</f>
        <v>0</v>
      </c>
      <c r="I3" s="534">
        <f>COUNTIFS(K13:K22,"e",I13:I22,"&gt;0")</f>
        <v>0</v>
      </c>
      <c r="J3" s="534">
        <f>COUNTIFS(X13:X22,"e",V13:V22,"&gt;0")</f>
        <v>0</v>
      </c>
      <c r="K3" s="534">
        <f>COUNTIFS(K13:K22,"f",I13:I22,"&gt;0")</f>
        <v>0</v>
      </c>
      <c r="L3" s="534">
        <f>COUNTIFS(X13:X22,"f",V13:V22,"&gt;0")</f>
        <v>0</v>
      </c>
      <c r="M3" s="534">
        <f>COUNTIFS(K13:K22,"g",I13:I22,"&gt;0")</f>
        <v>0</v>
      </c>
      <c r="N3" s="534">
        <f>COUNTIFS(X13:X22,"g",V13:V22,"&gt;0")</f>
        <v>0</v>
      </c>
      <c r="O3" s="534">
        <f>COUNTIFS(K13:K22,"h",I13:I22,"&gt;0")</f>
        <v>0</v>
      </c>
      <c r="P3" s="534">
        <f>COUNTIFS(X13:X22,"h",V13:V22,"&gt;0")</f>
        <v>0</v>
      </c>
      <c r="Q3" s="534">
        <f>COUNTIFS(K13:K22,"i",I13:I22,"&gt;0")</f>
        <v>0</v>
      </c>
      <c r="R3" s="534">
        <f>COUNTIFS(X13:X22,"i",V13:V22,"&gt;0")</f>
        <v>0</v>
      </c>
      <c r="S3" s="535">
        <f>SUM(A3:R3)</f>
        <v>0</v>
      </c>
      <c r="T3" s="523"/>
      <c r="U3" s="523"/>
      <c r="V3" s="523"/>
      <c r="W3" s="536"/>
      <c r="X3" s="536"/>
      <c r="Y3" s="536"/>
      <c r="Z3" s="536"/>
      <c r="AA3" s="534">
        <f>COUNTIFS(AK13:AK22,"a",AI13:AI22,"&gt;0")</f>
        <v>0</v>
      </c>
      <c r="AB3" s="534">
        <f>COUNTIFS(AX13:AX22,"a",AV13:AV22,"&gt;0")</f>
        <v>0</v>
      </c>
      <c r="AC3" s="534">
        <f>COUNTIFS(AK13:AK22,"b",AI13:AI22,"&gt;0")</f>
        <v>0</v>
      </c>
      <c r="AD3" s="534">
        <f>COUNTIFS(AX13:AX22,"b",AV13:AV22,"&gt;0")</f>
        <v>0</v>
      </c>
      <c r="AE3" s="534">
        <f>COUNTIFS(AK13:AK22,"c",AI13:AI22,"&gt;0")</f>
        <v>0</v>
      </c>
      <c r="AF3" s="534">
        <f>COUNTIFS(AX13:AX22,"c",AV13:AV22,"&gt;0")</f>
        <v>0</v>
      </c>
      <c r="AG3" s="534">
        <f>COUNTIFS(AK13:AK22,"d",AI13:AI22,"&gt;0")</f>
        <v>0</v>
      </c>
      <c r="AH3" s="534">
        <f>COUNTIFS(AX13:AX22,"d",AV13:AV22,"&gt;0")</f>
        <v>0</v>
      </c>
      <c r="AI3" s="534">
        <f>COUNTIFS(AK13:AK22,"e",AI13:AI22,"&gt;0")</f>
        <v>0</v>
      </c>
      <c r="AJ3" s="534">
        <f>COUNTIFS(AX13:AX22,"e",AV13:AV22,"&gt;0")</f>
        <v>0</v>
      </c>
      <c r="AK3" s="534">
        <f>COUNTIFS(AK13:AK22,"f",AI13:AI22,"&gt;0")</f>
        <v>0</v>
      </c>
      <c r="AL3" s="534">
        <f>COUNTIFS(AX13:AX22,"f",AV13:AV22,"&gt;0")</f>
        <v>0</v>
      </c>
      <c r="AM3" s="534">
        <f>COUNTIFS(AK13:AK22,"g",AI13:AI22,"&gt;0")</f>
        <v>0</v>
      </c>
      <c r="AN3" s="534">
        <f>COUNTIFS(AX13:AX22,"g",AV13:AV22,"&gt;0")</f>
        <v>0</v>
      </c>
      <c r="AO3" s="534">
        <f>COUNTIFS(AK13:AK22,"h",AI13:AI22,"&gt;0")</f>
        <v>0</v>
      </c>
      <c r="AP3" s="534">
        <f>COUNTIFS(AX13:AX22,"h",AV13:AV22,"&gt;0")</f>
        <v>0</v>
      </c>
      <c r="AQ3" s="534">
        <f>COUNTIFS(AK13:AK22,"i",AI13:AI22,"&gt;0")</f>
        <v>0</v>
      </c>
      <c r="AR3" s="534">
        <f>COUNTIFS(AX13:AX22,"i",AV13:AV22,"&gt;0")</f>
        <v>0</v>
      </c>
      <c r="AS3" s="535">
        <f>SUM(AA3:AR3)</f>
        <v>0</v>
      </c>
      <c r="AT3" s="523"/>
      <c r="AU3" s="523"/>
      <c r="AV3" s="523"/>
      <c r="AW3" s="863"/>
      <c r="AX3" s="863"/>
      <c r="AY3" s="863"/>
      <c r="AZ3" s="863"/>
      <c r="BA3" s="8"/>
      <c r="BB3" s="76"/>
      <c r="BC3" s="76"/>
      <c r="BD3" s="76"/>
      <c r="BE3" s="76"/>
      <c r="BF3" s="193" t="s">
        <v>548</v>
      </c>
      <c r="BG3" s="159" t="e">
        <f>#REF!+#REF!</f>
        <v>#REF!</v>
      </c>
      <c r="BH3" s="12"/>
      <c r="BI3" s="12"/>
      <c r="BJ3" s="12"/>
      <c r="BK3" s="12"/>
      <c r="BL3" s="12"/>
      <c r="BM3" s="76"/>
      <c r="BO3" s="156" t="s">
        <v>53</v>
      </c>
      <c r="BP3" s="201">
        <f>SUMIFS(H13:H22,J13:J22,"小")+SUMIFS(U13:U22,W13:W22,"小")+SUMIFS(H46:H75,J46:J75,"小")+SUMIFS(U46:U75,W46:W75,"小")+SUMIFS(H89:H118,J89:J118,"小")+SUMIFS(U89:U118,W89:W118,"小")+SUMIFS(H132:H161,J132:J161,"小")+SUMIFS(U132:U161,W132:W161,"小")+SUMIFS(H175:H204,J175:J204,"小")+SUMIFS(U175:U204,W175:W204,"小")+SUMIFS(H218:H247,J218:J247,"小")+SUMIFS(U218:U247,W218:W247,"小")</f>
        <v>0</v>
      </c>
      <c r="BQ3" s="201">
        <f>SUMIFS(H13:H22,J13:J22,"中")+SUMIFS(U13:U22,W13:W22,"中")+SUMIFS(H46:H75,J46:J75,"中")+SUMIFS(U46:U75,W46:W75,"中")+SUMIFS(H89:H118,J89:J118,"中")+SUMIFS(U89:U118,W89:W118,"中")+SUMIFS(H132:H161,J132:J161,"中")+SUMIFS(U132:U161,W132:W161,"中")+SUMIFS(H175:H204,J175:J204,"中")+SUMIFS(U175:U204,W175:W204,"中")+SUMIFS(H218:H247,J218:J247,"中")+SUMIFS(U218:U247,W218:W247,"中")</f>
        <v>0</v>
      </c>
      <c r="BR3" s="201">
        <f>SUMIFS(H13:H22,J13:J22,"引")+SUMIFS(U13:U22,W13:W22,"引")+SUMIFS(H46:H75,J46:J75,"引")+SUMIFS(U46:U75,W46:W75,"引")+SUMIFS(H89:H118,J89:J118,"引")+SUMIFS(U89:U118,W89:W118,"引")+SUMIFS(H132:H161,J132:J161,"引")+SUMIFS(U132:U161,W132:W161,"引")+SUMIFS(H175:H204,J175:J204,"引")+SUMIFS(U175:U204,W175:W204,"引")+SUMIFS(H218:H247,J218:J247,"引")+SUMIFS(U218:U247,W218:W247,"引")</f>
        <v>0</v>
      </c>
      <c r="BS3" s="201">
        <f>SUMIFS(H13:H22,J13:J22,"一")+SUMIFS(U13:U22,W13:W22,"一")+SUMIFS(H46:H75,J46:J75,"一")+SUMIFS(U46:U75,W46:W75,"一")+SUMIFS(H89:H118,J89:J118,"一")+SUMIFS(U89:U118,W89:W118,"一")+SUMIFS(H132:H161,J132:J161,"一")+SUMIFS(U132:U161,W132:W161,"一")+SUMIFS(H175:H204,J175:J204,"一")+SUMIFS(U175:U204,W175:W204,"一")+SUMIFS(H218:H247,J218:J247,"一")+SUMIFS(U218:U247,W218:W247,"一")</f>
        <v>0</v>
      </c>
      <c r="BT3" s="201">
        <f>SUM(BP3:BS3)</f>
        <v>0</v>
      </c>
      <c r="BU3" s="202"/>
      <c r="BV3" s="202"/>
      <c r="BW3" s="202"/>
      <c r="BX3" s="58"/>
      <c r="BY3" s="58"/>
      <c r="CC3" s="302" t="s">
        <v>1847</v>
      </c>
      <c r="CD3" s="159">
        <f>BP3-BT29</f>
        <v>0</v>
      </c>
      <c r="CE3" s="754">
        <f>IF(OR(CD3="",CD3=0),0,117)</f>
        <v>0</v>
      </c>
      <c r="CF3" s="762">
        <v>330</v>
      </c>
      <c r="CG3" s="755">
        <v>117</v>
      </c>
      <c r="CH3" s="302">
        <v>1</v>
      </c>
      <c r="CI3" s="296" t="e">
        <f t="shared" ref="CI3:CI17" si="0">INDEX($CC$3:$CC$110,MATCH($CK3,$CE$3:$CE$110,0))</f>
        <v>#REF!</v>
      </c>
      <c r="CJ3" s="296" t="e">
        <f t="shared" ref="CJ3:CJ17" si="1">INDEX($CD$3:$CD$110,MATCH($CK3,$CE$3:$CE$110,0))</f>
        <v>#REF!</v>
      </c>
      <c r="CK3" s="292" t="e">
        <f t="shared" ref="CK3:CK17" si="2">LARGE($CE$3:$CE$110,ROW(A1))</f>
        <v>#REF!</v>
      </c>
      <c r="CL3" s="308"/>
      <c r="CM3" s="302">
        <v>1</v>
      </c>
      <c r="CN3" s="12" t="e">
        <f t="shared" ref="CN3:CN9" si="3">INDEX($CC$11:$CC$109,MATCH($CP3,$CE$11:$CE$109,0))</f>
        <v>#REF!</v>
      </c>
      <c r="CO3" s="12" t="e">
        <f t="shared" ref="CO3:CO9" si="4">INDEX($CD$11:$CD$109,MATCH($CP3,$CE$11:$CE$109,0))</f>
        <v>#REF!</v>
      </c>
      <c r="CP3" s="12" t="e">
        <f t="shared" ref="CP3:CP9" si="5">LARGE($CE$11:$CE$109,ROW(A1))</f>
        <v>#REF!</v>
      </c>
      <c r="CQ3" s="54" t="e">
        <f t="shared" ref="CQ3:CQ9" si="6">INDEX($CF$11:$CF$109,MATCH($CP3,$CE$11:$CE$109,0))</f>
        <v>#REF!</v>
      </c>
    </row>
    <row r="4" spans="1:95" s="3" customFormat="1" ht="36" customHeight="1">
      <c r="A4" s="1902" t="s">
        <v>87</v>
      </c>
      <c r="B4" s="1902"/>
      <c r="C4" s="1903">
        <f>'01 使用承認申請書'!D4</f>
        <v>0</v>
      </c>
      <c r="D4" s="1903"/>
      <c r="E4" s="1903"/>
      <c r="F4" s="1903"/>
      <c r="G4" s="1903"/>
      <c r="H4" s="1903"/>
      <c r="I4" s="1903"/>
      <c r="J4" s="1903"/>
      <c r="K4" s="1903"/>
      <c r="L4" s="1903"/>
      <c r="M4" s="1903"/>
      <c r="N4" s="1903"/>
      <c r="O4" s="1903"/>
      <c r="P4" s="1903"/>
      <c r="Q4" s="1903"/>
      <c r="R4" s="1903"/>
      <c r="S4" s="1903"/>
      <c r="T4" s="1903"/>
      <c r="U4" s="522"/>
      <c r="V4" s="522"/>
      <c r="W4" s="522"/>
      <c r="X4" s="522"/>
      <c r="Y4" s="522"/>
      <c r="Z4" s="522"/>
      <c r="AA4" s="1902" t="s">
        <v>87</v>
      </c>
      <c r="AB4" s="1902"/>
      <c r="AC4" s="1903" t="str">
        <f>'01 使用承認申請書'!AD4</f>
        <v>ベースボールスクール山の家</v>
      </c>
      <c r="AD4" s="1903"/>
      <c r="AE4" s="1903"/>
      <c r="AF4" s="1903"/>
      <c r="AG4" s="1903"/>
      <c r="AH4" s="1903"/>
      <c r="AI4" s="1903"/>
      <c r="AJ4" s="1903"/>
      <c r="AK4" s="1903"/>
      <c r="AL4" s="1903"/>
      <c r="AM4" s="1903"/>
      <c r="AN4" s="1903"/>
      <c r="AO4" s="1903"/>
      <c r="AP4" s="1903"/>
      <c r="AQ4" s="1903"/>
      <c r="AR4" s="1903"/>
      <c r="AS4" s="1903"/>
      <c r="AT4" s="1903"/>
      <c r="AU4" s="522"/>
      <c r="AV4" s="522"/>
      <c r="AW4" s="522"/>
      <c r="AX4" s="522"/>
      <c r="AY4" s="522"/>
      <c r="AZ4" s="522"/>
      <c r="BA4" s="78"/>
      <c r="BB4" s="79"/>
      <c r="BC4" s="79"/>
      <c r="BD4" s="79" t="s">
        <v>459</v>
      </c>
      <c r="BE4" s="79"/>
      <c r="BF4" s="193" t="s">
        <v>547</v>
      </c>
      <c r="BG4" s="160"/>
      <c r="BH4" s="12"/>
      <c r="BI4" s="12"/>
      <c r="BJ4" s="12"/>
      <c r="BK4" s="12"/>
      <c r="BL4" s="12"/>
      <c r="BM4" s="76"/>
      <c r="BO4" s="307" t="s">
        <v>52</v>
      </c>
      <c r="BP4" s="337">
        <f>SUMIFS(I13:I22,J13:J22,"小")+SUMIFS(V13:V22,W13:W22,"小")+SUMIFS(I46:I75,J46:J75,"小")+SUMIFS(V46:V75,W46:W75,"小")+SUMIFS(I89:I118,J89:J118,"小")+SUMIFS(V89:V118,W89:W118,"小")+SUMIFS(I132:I161,J132:J161,"小")+SUMIFS(V132:V161,W132:W161,"小")+SUMIFS(I175:I204,J175:J204,"小")+SUMIFS(V175:V204,W175:W204,"小")+SUMIFS(I218:I247,J218:J247,"小")+SUMIFS(V218:V247,W218:W247,"小")</f>
        <v>0</v>
      </c>
      <c r="BQ4" s="337">
        <f>SUMIFS(I13:I22,J13:J22,"中")+SUMIFS(V13:V22,W13:W22,"中")+SUMIFS(I46:I75,J46:J75,"中")+SUMIFS(V46:V75,W46:W75,"中")+SUMIFS(I89:I118,J89:J118,"中")+SUMIFS(V89:V118,W89:W118,"中")+SUMIFS(I132:I161,J132:J161,"中")+SUMIFS(V132:V161,W132:W161,"中")+SUMIFS(I175:I204,J175:J204,"中")+SUMIFS(V175:V204,W175:W204,"中")+SUMIFS(I218:I247,J218:J247,"中")+SUMIFS(V218:V247,W218:W247,"中")</f>
        <v>0</v>
      </c>
      <c r="BR4" s="337">
        <f>SUMIFS(I13:I22,J13:J22,"引")+SUMIFS(V13:V22,W13:W22,"引")+SUMIFS(I46:I75,J46:J75,"引")+SUMIFS(V46:V75,W46:W75,"引")+SUMIFS(I89:I118,J89:J118,"引")+SUMIFS(V89:V118,W89:W118,"引")+SUMIFS(I132:I161,J132:J161,"引")+SUMIFS(V132:V161,W132:W161,"引")+SUMIFS(I175:I204,J175:J204,"引")+SUMIFS(V175:V204,W175:W204,"引")+SUMIFS(I218:I247,J218:J247,"引")+SUMIFS(V218:V247,W218:W247,"引")</f>
        <v>0</v>
      </c>
      <c r="BS4" s="337">
        <f>SUMIFS(I13:I22,J13:J22,"一")+SUMIFS(V13:V22,W13:W22,"一")+SUMIFS(I46:I75,J46:J75,"一")+SUMIFS(V46:V75,W46:W75,"一")+SUMIFS(I89:I118,J89:J118,"一")+SUMIFS(V89:V118,W89:W118,"一")+SUMIFS(I132:I161,J132:J161,"一")+SUMIFS(V132:V161,W132:W161,"一")+SUMIFS(I175:I204,J175:J204,"一")+SUMIFS(V175:V204,W175:W204,"一")+SUMIFS(I218:I247,J218:J247,"一")+SUMIFS(V218:V247,W218:W247,"一")</f>
        <v>0</v>
      </c>
      <c r="BT4" s="337">
        <f>SUM(BP4:BS4)</f>
        <v>0</v>
      </c>
      <c r="BU4" s="202"/>
      <c r="BV4" s="202"/>
      <c r="BW4" s="202"/>
      <c r="BX4" s="203"/>
      <c r="BY4" s="203"/>
      <c r="CC4" s="302" t="s">
        <v>1848</v>
      </c>
      <c r="CD4" s="159">
        <f>BP4-BU29</f>
        <v>0</v>
      </c>
      <c r="CE4" s="754">
        <f>IF(OR(CD4="",CD4=0),0,90)</f>
        <v>0</v>
      </c>
      <c r="CF4" s="762">
        <v>110</v>
      </c>
      <c r="CG4" s="761">
        <v>90</v>
      </c>
      <c r="CH4" s="211">
        <v>2</v>
      </c>
      <c r="CI4" s="296" t="e">
        <f t="shared" si="0"/>
        <v>#REF!</v>
      </c>
      <c r="CJ4" s="296" t="e">
        <f t="shared" si="1"/>
        <v>#REF!</v>
      </c>
      <c r="CK4" s="292" t="e">
        <f t="shared" si="2"/>
        <v>#REF!</v>
      </c>
      <c r="CL4" s="56"/>
      <c r="CM4" s="302">
        <v>2</v>
      </c>
      <c r="CN4" s="12" t="e">
        <f t="shared" si="3"/>
        <v>#REF!</v>
      </c>
      <c r="CO4" s="12" t="e">
        <f t="shared" si="4"/>
        <v>#REF!</v>
      </c>
      <c r="CP4" s="12" t="e">
        <f t="shared" si="5"/>
        <v>#REF!</v>
      </c>
      <c r="CQ4" s="300" t="e">
        <f t="shared" si="6"/>
        <v>#REF!</v>
      </c>
    </row>
    <row r="5" spans="1:95" s="3" customFormat="1" ht="15.95" customHeight="1">
      <c r="A5" s="1922" t="s">
        <v>86</v>
      </c>
      <c r="B5" s="1922"/>
      <c r="C5" s="1927">
        <f>'01 使用承認申請書'!B12</f>
        <v>0</v>
      </c>
      <c r="D5" s="1927"/>
      <c r="E5" s="1954" t="s">
        <v>18</v>
      </c>
      <c r="F5" s="1927">
        <f>'01 使用承認申請書'!C14</f>
        <v>0</v>
      </c>
      <c r="G5" s="1954" t="s">
        <v>17</v>
      </c>
      <c r="H5" s="1929">
        <f>'01 使用承認申請書'!F14</f>
        <v>0</v>
      </c>
      <c r="I5" s="1954" t="s">
        <v>16</v>
      </c>
      <c r="J5" s="1954" t="s">
        <v>460</v>
      </c>
      <c r="K5" s="1929">
        <f>'01 使用承認申請書'!J14</f>
        <v>0</v>
      </c>
      <c r="L5" s="1954" t="s">
        <v>461</v>
      </c>
      <c r="M5" s="1954" t="s">
        <v>40</v>
      </c>
      <c r="N5" s="1929">
        <f>'01 使用承認申請書'!C16</f>
        <v>0</v>
      </c>
      <c r="O5" s="1954" t="s">
        <v>17</v>
      </c>
      <c r="P5" s="1929">
        <f>'01 使用承認申請書'!F16</f>
        <v>0</v>
      </c>
      <c r="Q5" s="1954" t="s">
        <v>16</v>
      </c>
      <c r="R5" s="1954" t="s">
        <v>462</v>
      </c>
      <c r="S5" s="1929">
        <f>'01 使用承認申請書'!J16</f>
        <v>0</v>
      </c>
      <c r="T5" s="1954" t="s">
        <v>463</v>
      </c>
      <c r="U5" s="1875"/>
      <c r="V5" s="1875"/>
      <c r="W5" s="537">
        <f>'01 使用承認申請書'!L13</f>
        <v>0</v>
      </c>
      <c r="X5" s="511" t="s">
        <v>51</v>
      </c>
      <c r="Y5" s="537">
        <f>'01 使用承認申請書'!Q13</f>
        <v>0</v>
      </c>
      <c r="Z5" s="511" t="s">
        <v>16</v>
      </c>
      <c r="AA5" s="1922" t="s">
        <v>86</v>
      </c>
      <c r="AB5" s="1922"/>
      <c r="AC5" s="1927" t="str">
        <f>'01 使用承認申請書'!AB12</f>
        <v>令和3</v>
      </c>
      <c r="AD5" s="1927"/>
      <c r="AE5" s="1954" t="s">
        <v>18</v>
      </c>
      <c r="AF5" s="1927" t="str">
        <f>'01 使用承認申請書'!AC14</f>
        <v>10</v>
      </c>
      <c r="AG5" s="1954" t="s">
        <v>17</v>
      </c>
      <c r="AH5" s="1929" t="str">
        <f>'01 使用承認申請書'!AF14</f>
        <v>12</v>
      </c>
      <c r="AI5" s="1954" t="s">
        <v>16</v>
      </c>
      <c r="AJ5" s="1954" t="s">
        <v>43</v>
      </c>
      <c r="AK5" s="1929" t="str">
        <f>'01 使用承認申請書'!AJ14</f>
        <v>月</v>
      </c>
      <c r="AL5" s="1954" t="s">
        <v>42</v>
      </c>
      <c r="AM5" s="1954" t="s">
        <v>40</v>
      </c>
      <c r="AN5" s="1929" t="str">
        <f>'01 使用承認申請書'!AC16</f>
        <v>10</v>
      </c>
      <c r="AO5" s="1954" t="s">
        <v>17</v>
      </c>
      <c r="AP5" s="1929" t="str">
        <f>'01 使用承認申請書'!AF16</f>
        <v>13</v>
      </c>
      <c r="AQ5" s="1954" t="s">
        <v>16</v>
      </c>
      <c r="AR5" s="1954" t="s">
        <v>43</v>
      </c>
      <c r="AS5" s="1929" t="str">
        <f>'01 使用承認申請書'!AJ16</f>
        <v>火</v>
      </c>
      <c r="AT5" s="1954" t="s">
        <v>42</v>
      </c>
      <c r="AU5" s="1875"/>
      <c r="AV5" s="1875"/>
      <c r="AW5" s="879">
        <f>'01 使用承認申請書'!AL13</f>
        <v>1</v>
      </c>
      <c r="AX5" s="511" t="s">
        <v>51</v>
      </c>
      <c r="AY5" s="879">
        <f>'01 使用承認申請書'!AQ13</f>
        <v>2</v>
      </c>
      <c r="AZ5" s="511" t="s">
        <v>16</v>
      </c>
      <c r="BA5" s="80"/>
      <c r="BB5" s="79"/>
      <c r="BC5" s="79"/>
      <c r="BD5" s="79" t="s">
        <v>466</v>
      </c>
      <c r="BE5" s="79"/>
      <c r="BF5" s="193" t="s">
        <v>546</v>
      </c>
      <c r="BG5" s="12"/>
      <c r="BH5" s="12"/>
      <c r="BI5" s="12"/>
      <c r="BJ5" s="12"/>
      <c r="BK5" s="12"/>
      <c r="BL5" s="12"/>
      <c r="BM5" s="76"/>
      <c r="BN5" s="12"/>
      <c r="BO5" s="310" t="s">
        <v>1888</v>
      </c>
      <c r="BP5" s="159">
        <f>SUM(BP3:BP4)</f>
        <v>0</v>
      </c>
      <c r="BQ5" s="159">
        <f>SUM(BQ3:BQ4)</f>
        <v>0</v>
      </c>
      <c r="BR5" s="159">
        <f>SUM(BR3:BR4)</f>
        <v>0</v>
      </c>
      <c r="BS5" s="159">
        <f>SUM(BS3:BS4)</f>
        <v>0</v>
      </c>
      <c r="BT5" s="159">
        <f>SUM(BT3:BT4)</f>
        <v>0</v>
      </c>
      <c r="BU5" s="76"/>
      <c r="BV5" s="76"/>
      <c r="BW5" s="76"/>
      <c r="CC5" s="302" t="s">
        <v>1849</v>
      </c>
      <c r="CD5" s="159">
        <f>BQ3-BV29</f>
        <v>0</v>
      </c>
      <c r="CE5" s="754">
        <f>IF(OR(CD5="",CD5=0),0,63)</f>
        <v>0</v>
      </c>
      <c r="CF5" s="762">
        <v>330</v>
      </c>
      <c r="CG5" s="763">
        <v>63</v>
      </c>
      <c r="CH5" s="211">
        <v>3</v>
      </c>
      <c r="CI5" s="296" t="e">
        <f t="shared" si="0"/>
        <v>#REF!</v>
      </c>
      <c r="CJ5" s="296" t="e">
        <f t="shared" si="1"/>
        <v>#REF!</v>
      </c>
      <c r="CK5" s="292" t="e">
        <f t="shared" si="2"/>
        <v>#REF!</v>
      </c>
      <c r="CL5" s="56"/>
      <c r="CM5" s="302">
        <v>3</v>
      </c>
      <c r="CN5" s="12" t="e">
        <f t="shared" si="3"/>
        <v>#REF!</v>
      </c>
      <c r="CO5" s="12" t="e">
        <f t="shared" si="4"/>
        <v>#REF!</v>
      </c>
      <c r="CP5" s="12" t="e">
        <f t="shared" si="5"/>
        <v>#REF!</v>
      </c>
      <c r="CQ5" s="300" t="e">
        <f t="shared" si="6"/>
        <v>#REF!</v>
      </c>
    </row>
    <row r="6" spans="1:95" s="3" customFormat="1" ht="15.95" customHeight="1">
      <c r="A6" s="1902"/>
      <c r="B6" s="1902"/>
      <c r="C6" s="1928"/>
      <c r="D6" s="1928"/>
      <c r="E6" s="1955"/>
      <c r="F6" s="1928"/>
      <c r="G6" s="1955"/>
      <c r="H6" s="1928"/>
      <c r="I6" s="1955"/>
      <c r="J6" s="1955"/>
      <c r="K6" s="1928"/>
      <c r="L6" s="1955"/>
      <c r="M6" s="1955"/>
      <c r="N6" s="1928"/>
      <c r="O6" s="1955"/>
      <c r="P6" s="1928"/>
      <c r="Q6" s="1955"/>
      <c r="R6" s="1955"/>
      <c r="S6" s="1928"/>
      <c r="T6" s="1955"/>
      <c r="U6" s="1875"/>
      <c r="V6" s="1875"/>
      <c r="W6" s="1875" t="s">
        <v>52</v>
      </c>
      <c r="X6" s="1875"/>
      <c r="Y6" s="539" t="str">
        <f>CONCATENATE('01 使用承認申請書'!V13)</f>
        <v/>
      </c>
      <c r="Z6" s="511" t="s">
        <v>16</v>
      </c>
      <c r="AA6" s="1902"/>
      <c r="AB6" s="1902"/>
      <c r="AC6" s="1928"/>
      <c r="AD6" s="1928"/>
      <c r="AE6" s="1955"/>
      <c r="AF6" s="1928"/>
      <c r="AG6" s="1955"/>
      <c r="AH6" s="1928"/>
      <c r="AI6" s="1955"/>
      <c r="AJ6" s="1955"/>
      <c r="AK6" s="1928"/>
      <c r="AL6" s="1955"/>
      <c r="AM6" s="1955"/>
      <c r="AN6" s="1928"/>
      <c r="AO6" s="1955"/>
      <c r="AP6" s="1928"/>
      <c r="AQ6" s="1955"/>
      <c r="AR6" s="1955"/>
      <c r="AS6" s="1928"/>
      <c r="AT6" s="1955"/>
      <c r="AU6" s="1875"/>
      <c r="AV6" s="1875"/>
      <c r="AW6" s="1875" t="s">
        <v>52</v>
      </c>
      <c r="AX6" s="1875"/>
      <c r="AY6" s="539" t="str">
        <f>CONCATENATE('01 使用承認申請書'!AV13)</f>
        <v/>
      </c>
      <c r="AZ6" s="511" t="s">
        <v>16</v>
      </c>
      <c r="BA6" s="80"/>
      <c r="BB6" s="79"/>
      <c r="BC6" s="79"/>
      <c r="BD6" s="79" t="s">
        <v>467</v>
      </c>
      <c r="BE6" s="79"/>
      <c r="BF6" s="193" t="s">
        <v>545</v>
      </c>
      <c r="BG6" s="12"/>
      <c r="BH6" s="12"/>
      <c r="BI6" s="12"/>
      <c r="BJ6" s="12"/>
      <c r="BK6" s="12"/>
      <c r="BL6" s="12"/>
      <c r="BM6" s="76"/>
      <c r="BN6" s="1881" t="s">
        <v>561</v>
      </c>
      <c r="BO6" s="1881"/>
      <c r="BP6" s="159">
        <f>BP5-SUM(BT30:BU30)</f>
        <v>0</v>
      </c>
      <c r="BQ6" s="159">
        <f>BQ5-SUM(BV30:BW30)</f>
        <v>0</v>
      </c>
      <c r="BR6" s="159">
        <f>BR5-SUM(BX30,BY30)</f>
        <v>0</v>
      </c>
      <c r="BS6" s="341">
        <f>(BS5-(BG61+BZ17+CA17))</f>
        <v>0</v>
      </c>
      <c r="BT6" s="12"/>
      <c r="BU6" s="76"/>
      <c r="BV6" s="76"/>
      <c r="BW6" s="76"/>
      <c r="CC6" s="302" t="s">
        <v>1850</v>
      </c>
      <c r="CD6" s="159">
        <f>BQ4-BW29</f>
        <v>0</v>
      </c>
      <c r="CE6" s="754">
        <f>IF(OR(CD6="",CD6=0),0,36)</f>
        <v>0</v>
      </c>
      <c r="CF6" s="762">
        <v>110</v>
      </c>
      <c r="CG6" s="758">
        <v>36</v>
      </c>
      <c r="CH6" s="302">
        <v>4</v>
      </c>
      <c r="CI6" s="296" t="e">
        <f t="shared" si="0"/>
        <v>#REF!</v>
      </c>
      <c r="CJ6" s="296" t="e">
        <f t="shared" si="1"/>
        <v>#REF!</v>
      </c>
      <c r="CK6" s="292" t="e">
        <f t="shared" si="2"/>
        <v>#REF!</v>
      </c>
      <c r="CL6" s="56"/>
      <c r="CM6" s="302">
        <v>4</v>
      </c>
      <c r="CN6" s="12" t="e">
        <f t="shared" si="3"/>
        <v>#REF!</v>
      </c>
      <c r="CO6" s="12" t="e">
        <f t="shared" si="4"/>
        <v>#REF!</v>
      </c>
      <c r="CP6" s="12" t="e">
        <f t="shared" si="5"/>
        <v>#REF!</v>
      </c>
      <c r="CQ6" s="300" t="e">
        <f t="shared" si="6"/>
        <v>#REF!</v>
      </c>
    </row>
    <row r="7" spans="1:95" s="3" customFormat="1" ht="24.95" customHeight="1">
      <c r="A7" s="540"/>
      <c r="B7" s="540"/>
      <c r="C7" s="540"/>
      <c r="D7" s="540"/>
      <c r="E7" s="540"/>
      <c r="F7" s="540"/>
      <c r="G7" s="540"/>
      <c r="H7" s="540"/>
      <c r="I7" s="540"/>
      <c r="J7" s="540"/>
      <c r="K7" s="540"/>
      <c r="L7" s="540"/>
      <c r="M7" s="540"/>
      <c r="N7" s="540"/>
      <c r="O7" s="540"/>
      <c r="P7" s="540"/>
      <c r="Q7" s="540"/>
      <c r="R7" s="540"/>
      <c r="S7" s="540"/>
      <c r="T7" s="540"/>
      <c r="U7" s="541"/>
      <c r="V7" s="541"/>
      <c r="W7" s="541"/>
      <c r="X7" s="541"/>
      <c r="Y7" s="541"/>
      <c r="Z7" s="541"/>
      <c r="AA7" s="540"/>
      <c r="AB7" s="540"/>
      <c r="AC7" s="540"/>
      <c r="AD7" s="540"/>
      <c r="AE7" s="540"/>
      <c r="AF7" s="540"/>
      <c r="AG7" s="540"/>
      <c r="AH7" s="540"/>
      <c r="AI7" s="540"/>
      <c r="AJ7" s="540"/>
      <c r="AK7" s="540"/>
      <c r="AL7" s="540"/>
      <c r="AM7" s="540"/>
      <c r="AN7" s="540"/>
      <c r="AO7" s="540"/>
      <c r="AP7" s="540"/>
      <c r="AQ7" s="540"/>
      <c r="AR7" s="540"/>
      <c r="AS7" s="540"/>
      <c r="AT7" s="540"/>
      <c r="AU7" s="541"/>
      <c r="AV7" s="541"/>
      <c r="AW7" s="541"/>
      <c r="AX7" s="541"/>
      <c r="AY7" s="541"/>
      <c r="AZ7" s="541"/>
      <c r="BA7" s="81"/>
      <c r="BB7" s="79"/>
      <c r="BC7" s="79"/>
      <c r="BD7" s="79" t="s">
        <v>468</v>
      </c>
      <c r="BE7" s="79"/>
      <c r="BF7" s="142"/>
      <c r="BG7" s="76"/>
      <c r="BH7" s="76"/>
      <c r="BI7" s="76"/>
      <c r="BJ7" s="76"/>
      <c r="BK7" s="76"/>
      <c r="BL7" s="76"/>
      <c r="BM7" s="76"/>
      <c r="BN7" s="1881" t="s">
        <v>1394</v>
      </c>
      <c r="BO7" s="1881"/>
      <c r="BP7" s="12"/>
      <c r="BQ7" s="12"/>
      <c r="BR7" s="159">
        <f>(BY30-BR4)*-1</f>
        <v>0</v>
      </c>
      <c r="BS7" s="341">
        <f>BS3-BS10</f>
        <v>0</v>
      </c>
      <c r="BT7" s="12"/>
      <c r="BU7" s="76"/>
      <c r="BV7" s="76"/>
      <c r="BW7" s="76"/>
      <c r="CC7" s="302" t="s">
        <v>1851</v>
      </c>
      <c r="CD7" s="159">
        <f>BR3-BX29</f>
        <v>0</v>
      </c>
      <c r="CE7" s="754">
        <f>IF(OR(CD7="",CD7=0),0,9)</f>
        <v>0</v>
      </c>
      <c r="CF7" s="762">
        <v>330</v>
      </c>
      <c r="CG7" s="755">
        <v>9</v>
      </c>
      <c r="CH7" s="211">
        <v>5</v>
      </c>
      <c r="CI7" s="296" t="e">
        <f t="shared" si="0"/>
        <v>#REF!</v>
      </c>
      <c r="CJ7" s="296" t="e">
        <f t="shared" si="1"/>
        <v>#REF!</v>
      </c>
      <c r="CK7" s="292" t="e">
        <f t="shared" si="2"/>
        <v>#REF!</v>
      </c>
      <c r="CL7" s="56"/>
      <c r="CM7" s="302">
        <v>5</v>
      </c>
      <c r="CN7" s="12" t="e">
        <f t="shared" si="3"/>
        <v>#REF!</v>
      </c>
      <c r="CO7" s="12" t="e">
        <f t="shared" si="4"/>
        <v>#REF!</v>
      </c>
      <c r="CP7" s="12" t="e">
        <f t="shared" si="5"/>
        <v>#REF!</v>
      </c>
      <c r="CQ7" s="300" t="e">
        <f t="shared" si="6"/>
        <v>#REF!</v>
      </c>
    </row>
    <row r="8" spans="1:95" s="3" customFormat="1" ht="13.5" customHeight="1">
      <c r="A8" s="1855" t="s">
        <v>469</v>
      </c>
      <c r="B8" s="1883" t="s">
        <v>166</v>
      </c>
      <c r="C8" s="1884"/>
      <c r="D8" s="1884"/>
      <c r="E8" s="1884"/>
      <c r="F8" s="1884"/>
      <c r="G8" s="1898"/>
      <c r="H8" s="1911" t="s">
        <v>167</v>
      </c>
      <c r="I8" s="1898"/>
      <c r="J8" s="1883" t="s">
        <v>168</v>
      </c>
      <c r="K8" s="1884"/>
      <c r="L8" s="1884"/>
      <c r="M8" s="1885"/>
      <c r="N8" s="1960" t="s">
        <v>470</v>
      </c>
      <c r="O8" s="1883" t="s">
        <v>166</v>
      </c>
      <c r="P8" s="1884"/>
      <c r="Q8" s="1884"/>
      <c r="R8" s="1884"/>
      <c r="S8" s="1884"/>
      <c r="T8" s="1898"/>
      <c r="U8" s="1911" t="s">
        <v>167</v>
      </c>
      <c r="V8" s="1898"/>
      <c r="W8" s="1883" t="s">
        <v>168</v>
      </c>
      <c r="X8" s="1884"/>
      <c r="Y8" s="1884"/>
      <c r="Z8" s="1898"/>
      <c r="AA8" s="1962" t="s">
        <v>88</v>
      </c>
      <c r="AB8" s="1883" t="s">
        <v>166</v>
      </c>
      <c r="AC8" s="1884"/>
      <c r="AD8" s="1884"/>
      <c r="AE8" s="1884"/>
      <c r="AF8" s="1884"/>
      <c r="AG8" s="1898"/>
      <c r="AH8" s="1911" t="s">
        <v>167</v>
      </c>
      <c r="AI8" s="1898"/>
      <c r="AJ8" s="1883" t="s">
        <v>168</v>
      </c>
      <c r="AK8" s="1884"/>
      <c r="AL8" s="1884"/>
      <c r="AM8" s="1885"/>
      <c r="AN8" s="1960" t="s">
        <v>88</v>
      </c>
      <c r="AO8" s="1883" t="s">
        <v>166</v>
      </c>
      <c r="AP8" s="1884"/>
      <c r="AQ8" s="1884"/>
      <c r="AR8" s="1884"/>
      <c r="AS8" s="1884"/>
      <c r="AT8" s="1898"/>
      <c r="AU8" s="1911" t="s">
        <v>167</v>
      </c>
      <c r="AV8" s="1898"/>
      <c r="AW8" s="1883" t="s">
        <v>168</v>
      </c>
      <c r="AX8" s="1884"/>
      <c r="AY8" s="1884"/>
      <c r="AZ8" s="1885"/>
      <c r="BA8" s="82"/>
      <c r="BB8" s="79"/>
      <c r="BC8" s="79"/>
      <c r="BD8" s="79" t="s">
        <v>471</v>
      </c>
      <c r="BE8" s="79"/>
      <c r="BF8" s="142">
        <f>IF(BI65=TRUE,0,H13)</f>
        <v>0</v>
      </c>
      <c r="BG8" s="76"/>
      <c r="BH8" s="76"/>
      <c r="BI8" s="76"/>
      <c r="BJ8" s="76"/>
      <c r="BK8" s="76"/>
      <c r="BL8" s="76"/>
      <c r="BM8" s="76"/>
      <c r="BN8" s="1882" t="s">
        <v>1395</v>
      </c>
      <c r="BO8" s="1882"/>
      <c r="BP8" s="12"/>
      <c r="BQ8" s="12"/>
      <c r="BR8" s="12"/>
      <c r="BS8" s="341"/>
      <c r="BT8" s="12"/>
      <c r="BU8" s="76"/>
      <c r="BV8" s="76"/>
      <c r="BW8" s="76"/>
      <c r="CC8" s="302" t="s">
        <v>1852</v>
      </c>
      <c r="CD8" s="159">
        <f>BR4-BY29</f>
        <v>0</v>
      </c>
      <c r="CE8" s="754">
        <f>IF(OR(CD8="",CD8=0),0,7)</f>
        <v>0</v>
      </c>
      <c r="CF8" s="762">
        <v>110</v>
      </c>
      <c r="CG8" s="755">
        <v>7</v>
      </c>
      <c r="CH8" s="211">
        <v>6</v>
      </c>
      <c r="CI8" s="296" t="e">
        <f t="shared" si="0"/>
        <v>#REF!</v>
      </c>
      <c r="CJ8" s="296" t="e">
        <f t="shared" si="1"/>
        <v>#REF!</v>
      </c>
      <c r="CK8" s="292" t="e">
        <f t="shared" si="2"/>
        <v>#REF!</v>
      </c>
      <c r="CL8" s="56"/>
      <c r="CM8" s="302">
        <v>6</v>
      </c>
      <c r="CN8" s="12" t="e">
        <f t="shared" si="3"/>
        <v>#REF!</v>
      </c>
      <c r="CO8" s="12" t="e">
        <f t="shared" si="4"/>
        <v>#REF!</v>
      </c>
      <c r="CP8" s="12" t="e">
        <f t="shared" si="5"/>
        <v>#REF!</v>
      </c>
      <c r="CQ8" s="300" t="e">
        <f t="shared" si="6"/>
        <v>#REF!</v>
      </c>
    </row>
    <row r="9" spans="1:95" s="3" customFormat="1" ht="13.5" customHeight="1">
      <c r="A9" s="1855"/>
      <c r="B9" s="1913"/>
      <c r="C9" s="1914"/>
      <c r="D9" s="1914"/>
      <c r="E9" s="1914"/>
      <c r="F9" s="1914"/>
      <c r="G9" s="1915"/>
      <c r="H9" s="1886"/>
      <c r="I9" s="1899"/>
      <c r="J9" s="1886"/>
      <c r="K9" s="1887"/>
      <c r="L9" s="1887"/>
      <c r="M9" s="1888"/>
      <c r="N9" s="1961"/>
      <c r="O9" s="1913"/>
      <c r="P9" s="1914"/>
      <c r="Q9" s="1914"/>
      <c r="R9" s="1914"/>
      <c r="S9" s="1914"/>
      <c r="T9" s="1915"/>
      <c r="U9" s="1886"/>
      <c r="V9" s="1899"/>
      <c r="W9" s="1886"/>
      <c r="X9" s="1887"/>
      <c r="Y9" s="1887"/>
      <c r="Z9" s="1899"/>
      <c r="AA9" s="1962"/>
      <c r="AB9" s="1913"/>
      <c r="AC9" s="1914"/>
      <c r="AD9" s="1914"/>
      <c r="AE9" s="1914"/>
      <c r="AF9" s="1914"/>
      <c r="AG9" s="1915"/>
      <c r="AH9" s="1886"/>
      <c r="AI9" s="1899"/>
      <c r="AJ9" s="1886"/>
      <c r="AK9" s="1887"/>
      <c r="AL9" s="1887"/>
      <c r="AM9" s="1888"/>
      <c r="AN9" s="1961"/>
      <c r="AO9" s="1913"/>
      <c r="AP9" s="1914"/>
      <c r="AQ9" s="1914"/>
      <c r="AR9" s="1914"/>
      <c r="AS9" s="1914"/>
      <c r="AT9" s="1915"/>
      <c r="AU9" s="1886"/>
      <c r="AV9" s="1899"/>
      <c r="AW9" s="1886"/>
      <c r="AX9" s="1887"/>
      <c r="AY9" s="1887"/>
      <c r="AZ9" s="1888"/>
      <c r="BA9" s="82"/>
      <c r="BB9" s="79"/>
      <c r="BC9" s="79"/>
      <c r="BD9" s="79" t="s">
        <v>472</v>
      </c>
      <c r="BE9" s="79"/>
      <c r="BF9" s="142"/>
      <c r="BG9" s="76"/>
      <c r="BH9" s="76"/>
      <c r="BI9" s="76"/>
      <c r="BJ9" s="76"/>
      <c r="BK9" s="76"/>
      <c r="BL9" s="76"/>
      <c r="BM9" s="76"/>
      <c r="BN9" s="1882" t="s">
        <v>1886</v>
      </c>
      <c r="BO9" s="1882"/>
      <c r="BP9" s="12"/>
      <c r="BQ9" s="12"/>
      <c r="BR9" s="12"/>
      <c r="BS9" s="341">
        <f>CA17</f>
        <v>0</v>
      </c>
      <c r="BT9" s="12"/>
      <c r="BU9" s="76"/>
      <c r="BV9" s="76"/>
      <c r="BW9" s="76"/>
      <c r="CC9" s="302" t="s">
        <v>1854</v>
      </c>
      <c r="CD9" s="159">
        <f>BS3-BZ29</f>
        <v>0</v>
      </c>
      <c r="CE9" s="754">
        <f>IF(OR(CD9="",CD9=0),0,5)</f>
        <v>0</v>
      </c>
      <c r="CF9" s="762">
        <v>1100</v>
      </c>
      <c r="CG9" s="755">
        <v>5</v>
      </c>
      <c r="CH9" s="302">
        <v>7</v>
      </c>
      <c r="CI9" s="296" t="e">
        <f t="shared" si="0"/>
        <v>#REF!</v>
      </c>
      <c r="CJ9" s="296" t="e">
        <f t="shared" si="1"/>
        <v>#REF!</v>
      </c>
      <c r="CK9" s="292" t="e">
        <f t="shared" si="2"/>
        <v>#REF!</v>
      </c>
      <c r="CL9" s="56"/>
      <c r="CM9" s="333">
        <v>7</v>
      </c>
      <c r="CN9" s="12" t="e">
        <f t="shared" si="3"/>
        <v>#REF!</v>
      </c>
      <c r="CO9" s="12" t="e">
        <f t="shared" si="4"/>
        <v>#REF!</v>
      </c>
      <c r="CP9" s="12" t="e">
        <f t="shared" si="5"/>
        <v>#REF!</v>
      </c>
      <c r="CQ9" s="342" t="e">
        <f t="shared" si="6"/>
        <v>#REF!</v>
      </c>
    </row>
    <row r="10" spans="1:95" s="3" customFormat="1" ht="26.1" customHeight="1">
      <c r="A10" s="1855"/>
      <c r="B10" s="1913"/>
      <c r="C10" s="1914"/>
      <c r="D10" s="1914"/>
      <c r="E10" s="1914"/>
      <c r="F10" s="1914"/>
      <c r="G10" s="1915"/>
      <c r="H10" s="1924" t="s">
        <v>53</v>
      </c>
      <c r="I10" s="1912" t="s">
        <v>52</v>
      </c>
      <c r="J10" s="1904" t="s">
        <v>543</v>
      </c>
      <c r="K10" s="1889" t="s">
        <v>542</v>
      </c>
      <c r="L10" s="1890"/>
      <c r="M10" s="1891"/>
      <c r="N10" s="1931"/>
      <c r="O10" s="1913"/>
      <c r="P10" s="1914"/>
      <c r="Q10" s="1914"/>
      <c r="R10" s="1914"/>
      <c r="S10" s="1914"/>
      <c r="T10" s="1915"/>
      <c r="U10" s="1924" t="s">
        <v>53</v>
      </c>
      <c r="V10" s="1912" t="s">
        <v>52</v>
      </c>
      <c r="W10" s="1904" t="s">
        <v>543</v>
      </c>
      <c r="X10" s="1889" t="s">
        <v>542</v>
      </c>
      <c r="Y10" s="1890"/>
      <c r="Z10" s="1900"/>
      <c r="AA10" s="1962"/>
      <c r="AB10" s="1913"/>
      <c r="AC10" s="1914"/>
      <c r="AD10" s="1914"/>
      <c r="AE10" s="1914"/>
      <c r="AF10" s="1914"/>
      <c r="AG10" s="1915"/>
      <c r="AH10" s="1924" t="s">
        <v>53</v>
      </c>
      <c r="AI10" s="1912" t="s">
        <v>52</v>
      </c>
      <c r="AJ10" s="1904" t="s">
        <v>543</v>
      </c>
      <c r="AK10" s="1889" t="s">
        <v>542</v>
      </c>
      <c r="AL10" s="1890"/>
      <c r="AM10" s="1891"/>
      <c r="AN10" s="1931"/>
      <c r="AO10" s="1913"/>
      <c r="AP10" s="1914"/>
      <c r="AQ10" s="1914"/>
      <c r="AR10" s="1914"/>
      <c r="AS10" s="1914"/>
      <c r="AT10" s="1915"/>
      <c r="AU10" s="1924" t="s">
        <v>53</v>
      </c>
      <c r="AV10" s="1912" t="s">
        <v>52</v>
      </c>
      <c r="AW10" s="1904" t="s">
        <v>543</v>
      </c>
      <c r="AX10" s="1889" t="s">
        <v>542</v>
      </c>
      <c r="AY10" s="1890"/>
      <c r="AZ10" s="1891"/>
      <c r="BA10" s="82"/>
      <c r="BB10" s="79"/>
      <c r="BC10" s="79"/>
      <c r="BD10" s="79" t="s">
        <v>473</v>
      </c>
      <c r="BE10" s="79"/>
      <c r="BF10" s="142"/>
      <c r="BG10" s="76"/>
      <c r="BH10" s="76"/>
      <c r="BI10" s="76"/>
      <c r="BJ10" s="76"/>
      <c r="BK10" s="76"/>
      <c r="BL10" s="76"/>
      <c r="BM10" s="76"/>
      <c r="BN10" s="1882" t="s">
        <v>1887</v>
      </c>
      <c r="BO10" s="1882"/>
      <c r="BP10" s="12"/>
      <c r="BQ10" s="12"/>
      <c r="BR10" s="12"/>
      <c r="BS10" s="341">
        <f>BZ17</f>
        <v>0</v>
      </c>
      <c r="BT10" s="12"/>
      <c r="BU10" s="76"/>
      <c r="BV10" s="76"/>
      <c r="BW10" s="76"/>
      <c r="CC10" s="302" t="s">
        <v>1853</v>
      </c>
      <c r="CD10" s="159">
        <f>BS4-CA29-(BK61*2)</f>
        <v>0</v>
      </c>
      <c r="CE10" s="754">
        <f>IF(OR(CD10="",CD10=0),0,3)</f>
        <v>0</v>
      </c>
      <c r="CF10" s="762">
        <v>350</v>
      </c>
      <c r="CG10" s="755">
        <v>3</v>
      </c>
      <c r="CH10" s="211">
        <v>8</v>
      </c>
      <c r="CI10" s="296" t="e">
        <f t="shared" si="0"/>
        <v>#REF!</v>
      </c>
      <c r="CJ10" s="296" t="e">
        <f t="shared" si="1"/>
        <v>#REF!</v>
      </c>
      <c r="CK10" s="292" t="e">
        <f t="shared" si="2"/>
        <v>#REF!</v>
      </c>
      <c r="CL10" s="308"/>
      <c r="CM10" s="302" t="s">
        <v>1871</v>
      </c>
      <c r="CN10" s="1881" t="e">
        <f>SUM(CO3:CO8)</f>
        <v>#REF!</v>
      </c>
      <c r="CO10" s="1881"/>
      <c r="CP10" s="1881"/>
    </row>
    <row r="11" spans="1:95" s="3" customFormat="1" ht="26.1" customHeight="1">
      <c r="A11" s="1855"/>
      <c r="B11" s="1913"/>
      <c r="C11" s="1914"/>
      <c r="D11" s="1914"/>
      <c r="E11" s="1914"/>
      <c r="F11" s="1914"/>
      <c r="G11" s="1915"/>
      <c r="H11" s="1924"/>
      <c r="I11" s="1912"/>
      <c r="J11" s="1905"/>
      <c r="K11" s="1889"/>
      <c r="L11" s="1890"/>
      <c r="M11" s="1891"/>
      <c r="N11" s="1931"/>
      <c r="O11" s="1913"/>
      <c r="P11" s="1914"/>
      <c r="Q11" s="1914"/>
      <c r="R11" s="1914"/>
      <c r="S11" s="1914"/>
      <c r="T11" s="1915"/>
      <c r="U11" s="1924"/>
      <c r="V11" s="1912"/>
      <c r="W11" s="1905"/>
      <c r="X11" s="1889"/>
      <c r="Y11" s="1890"/>
      <c r="Z11" s="1900"/>
      <c r="AA11" s="1962"/>
      <c r="AB11" s="1913"/>
      <c r="AC11" s="1914"/>
      <c r="AD11" s="1914"/>
      <c r="AE11" s="1914"/>
      <c r="AF11" s="1914"/>
      <c r="AG11" s="1915"/>
      <c r="AH11" s="1924"/>
      <c r="AI11" s="1912"/>
      <c r="AJ11" s="1905"/>
      <c r="AK11" s="1889"/>
      <c r="AL11" s="1890"/>
      <c r="AM11" s="1891"/>
      <c r="AN11" s="1931"/>
      <c r="AO11" s="1913"/>
      <c r="AP11" s="1914"/>
      <c r="AQ11" s="1914"/>
      <c r="AR11" s="1914"/>
      <c r="AS11" s="1914"/>
      <c r="AT11" s="1915"/>
      <c r="AU11" s="1924"/>
      <c r="AV11" s="1912"/>
      <c r="AW11" s="1905"/>
      <c r="AX11" s="1889"/>
      <c r="AY11" s="1890"/>
      <c r="AZ11" s="1891"/>
      <c r="BA11" s="82"/>
      <c r="BB11" s="79"/>
      <c r="BC11" s="79"/>
      <c r="BD11" s="79" t="s">
        <v>474</v>
      </c>
      <c r="BE11" s="79"/>
      <c r="BF11" s="193" t="s">
        <v>514</v>
      </c>
      <c r="BG11" s="76"/>
      <c r="BH11" s="76"/>
      <c r="BI11" s="76"/>
      <c r="BJ11" s="76"/>
      <c r="BK11" s="76"/>
      <c r="BL11" s="76"/>
      <c r="BM11" s="76"/>
      <c r="BN11" s="76"/>
      <c r="BO11" s="76"/>
      <c r="BP11" s="76"/>
      <c r="BQ11" s="76"/>
      <c r="BR11" s="76"/>
      <c r="BS11" s="338" t="s">
        <v>550</v>
      </c>
      <c r="BT11" s="339" t="s">
        <v>1858</v>
      </c>
      <c r="BU11" s="169" t="s">
        <v>1859</v>
      </c>
      <c r="BV11" s="161" t="s">
        <v>1860</v>
      </c>
      <c r="BW11" s="145" t="s">
        <v>1861</v>
      </c>
      <c r="BX11" s="179" t="s">
        <v>1862</v>
      </c>
      <c r="BY11" s="169" t="s">
        <v>1863</v>
      </c>
      <c r="BZ11" s="169" t="s">
        <v>1864</v>
      </c>
      <c r="CA11" s="169" t="s">
        <v>1865</v>
      </c>
      <c r="CC11" s="302" t="str">
        <f t="shared" ref="CC11:CC25" si="7">$BT$11&amp;BF12</f>
        <v>小泊/準</v>
      </c>
      <c r="CD11" s="312">
        <f>BT12</f>
        <v>0</v>
      </c>
      <c r="CE11" s="754">
        <f>IF(OR(BT12="",BT12=0),0,116)</f>
        <v>0</v>
      </c>
      <c r="CF11" s="754">
        <v>330</v>
      </c>
      <c r="CG11" s="761">
        <v>116</v>
      </c>
      <c r="CH11" s="211">
        <v>9</v>
      </c>
      <c r="CI11" s="296" t="e">
        <f t="shared" si="0"/>
        <v>#REF!</v>
      </c>
      <c r="CJ11" s="296" t="e">
        <f t="shared" si="1"/>
        <v>#REF!</v>
      </c>
      <c r="CK11" s="292" t="e">
        <f t="shared" si="2"/>
        <v>#REF!</v>
      </c>
      <c r="CL11" s="308"/>
    </row>
    <row r="12" spans="1:95" s="3" customFormat="1" ht="26.1" customHeight="1">
      <c r="A12" s="1855"/>
      <c r="B12" s="1886"/>
      <c r="C12" s="1887"/>
      <c r="D12" s="1887"/>
      <c r="E12" s="1887"/>
      <c r="F12" s="1887"/>
      <c r="G12" s="1899"/>
      <c r="H12" s="1924"/>
      <c r="I12" s="1912"/>
      <c r="J12" s="1905"/>
      <c r="K12" s="1892"/>
      <c r="L12" s="1893"/>
      <c r="M12" s="1894"/>
      <c r="N12" s="1932"/>
      <c r="O12" s="1886"/>
      <c r="P12" s="1887"/>
      <c r="Q12" s="1887"/>
      <c r="R12" s="1887"/>
      <c r="S12" s="1887"/>
      <c r="T12" s="1899"/>
      <c r="U12" s="1924"/>
      <c r="V12" s="1912"/>
      <c r="W12" s="1905"/>
      <c r="X12" s="1892"/>
      <c r="Y12" s="1893"/>
      <c r="Z12" s="1901"/>
      <c r="AA12" s="1962"/>
      <c r="AB12" s="1886"/>
      <c r="AC12" s="1887"/>
      <c r="AD12" s="1887"/>
      <c r="AE12" s="1887"/>
      <c r="AF12" s="1887"/>
      <c r="AG12" s="1899"/>
      <c r="AH12" s="1924"/>
      <c r="AI12" s="1912"/>
      <c r="AJ12" s="1905"/>
      <c r="AK12" s="1892"/>
      <c r="AL12" s="1893"/>
      <c r="AM12" s="1894"/>
      <c r="AN12" s="1932"/>
      <c r="AO12" s="1886"/>
      <c r="AP12" s="1887"/>
      <c r="AQ12" s="1887"/>
      <c r="AR12" s="1887"/>
      <c r="AS12" s="1887"/>
      <c r="AT12" s="1899"/>
      <c r="AU12" s="1924"/>
      <c r="AV12" s="1912"/>
      <c r="AW12" s="1905"/>
      <c r="AX12" s="1892"/>
      <c r="AY12" s="1893"/>
      <c r="AZ12" s="1894"/>
      <c r="BA12" s="82"/>
      <c r="BB12" s="79"/>
      <c r="BC12" s="79"/>
      <c r="BD12" s="79" t="s">
        <v>475</v>
      </c>
      <c r="BE12" s="79"/>
      <c r="BF12" s="194" t="s">
        <v>515</v>
      </c>
      <c r="BG12" s="168">
        <f>COUNTIF($K$13:$M$22,"準")</f>
        <v>0</v>
      </c>
      <c r="BH12" s="163">
        <f>COUNTIF(X13:$Z$22,"準")</f>
        <v>0</v>
      </c>
      <c r="BI12" s="162">
        <f>COUNTIF(K46:$M$75,"準")</f>
        <v>0</v>
      </c>
      <c r="BJ12" s="162">
        <f>COUNTIF(X46:$Z$75,"準")</f>
        <v>0</v>
      </c>
      <c r="BK12" s="162">
        <f>COUNTIF(K89:$M$118,"準")</f>
        <v>0</v>
      </c>
      <c r="BL12" s="162">
        <f>COUNTIF(X89:$Z$118,"準")</f>
        <v>0</v>
      </c>
      <c r="BM12" s="162">
        <f>COUNTIF(K132:$M$161,"準")</f>
        <v>0</v>
      </c>
      <c r="BN12" s="162">
        <f>COUNTIF(X132:$Z$161,"準")</f>
        <v>0</v>
      </c>
      <c r="BO12" s="162">
        <f>COUNTIF(K175:$M$204,"準")</f>
        <v>0</v>
      </c>
      <c r="BP12" s="162">
        <f>COUNTIF(X175:$Z$204,"準")</f>
        <v>0</v>
      </c>
      <c r="BQ12" s="162">
        <f>COUNTIF(K218:$M$247,"準")</f>
        <v>0</v>
      </c>
      <c r="BR12" s="164">
        <f>COUNTIF(X218:$Z$247,"準")</f>
        <v>0</v>
      </c>
      <c r="BS12" s="165">
        <f>SUM(BG12:BR12)</f>
        <v>0</v>
      </c>
      <c r="BT12" s="166">
        <f>SUMIFS($H$13:$H$22,$J$13:$J$22,"小",$K$13:$K$22,"準")+SUMIFS($U$13:$U$22,$W$13:$W$22,"小",$X$13:$X$22,"準")+SUMIFS($H$46:$H$75,$J$46:$J$75,"小",$K$46:$K$75,"準")+SUMIFS($U$46:$U$75,$W$46:$W$75,"小",$X$46:$X$75,"準")+SUMIFS($H$89:$H$118,$J$89:$J$118,"小",$K$89:$K$118,"準")+SUMIFS($H$132:$H$161,$J$132:$J$161,"小",$K$132:$K$161,"準")+SUMIFS($H$175:$H$204,$J$175:$J$204,"小",$K$175:$K$204,"準")+SUMIFS($H$218:$H$247,$J$218:$J$247,"小",$K$218:$K$247,"準")+SUMIFS($U$89:$U$118,$W$89:$W$118,"小",$X$89:$X$118,"準")+SUMIFS($U$132:$U$161,$W$132:$W$161,"小",$X$132:$X$161,"準")+SUMIFS($U$175:$U$204,$W$175:$W$204,"小",$X$175:$X$204,"準")+SUMIFS($U$218:$U$247,$W$218:$W$247,"小",$X$218:$X$247,"準")</f>
        <v>0</v>
      </c>
      <c r="BU12" s="166">
        <f>SUMIFS($I$13:$I$22,$J$13:$J$22,"小",$K$13:$K$22,"準")+SUMIFS(V13:V22,W13:W22,"小",X13:X22,"準")+SUMIFS(I46:I75,J46:J75,"小",K46:K75,"準")+SUMIFS(V46:V75,W46:W75,"小",X46:X75,"準")+SUMIFS(I89:I118,J89:J118,"小",K89:K118,"準")+SUMIFS(I132:I161,J132:J161,"小",K132:K161,"準")+SUMIFS(I175:I204,J175:J204,"小",K175:K204,"準")+SUMIFS(I218:I247,J218:J247,"小",K218:K247,"準")+SUMIFS(V89:V118,W89:W118,"小",X89:X118,"準")+SUMIFS(V132:V161,W132:W161,"小",X132:X161,"準")+SUMIFS(V175:V204,W175:W204,"小",X175:X204,"準")+SUMIFS(V218:V247,W218:W247,"小",X218:X247,"準")</f>
        <v>0</v>
      </c>
      <c r="BV12" s="166">
        <f>SUMIFS($H$13:$H$22,$J$13:$J$22,"中",$K$13:$K$22,"準")+SUMIFS($U$13:$U$22,$W$13:$W$22,"中",$X$13:$X$22,"準")+SUMIFS($H$46:$H$75,$J$46:$J$75,"中",$K$46:$K$75,"準")+SUMIFS($U$46:$U$75,$W$46:$W$75,"中",$X$46:$X$75,"準")+SUMIFS($H$89:$H$118,$J$89:$J$118,"中",$K$89:$K$118,"準")+SUMIFS($H$132:$H$161,$J$132:$J$161,"中",$K$132:$K$161,"準")+SUMIFS($H$175:$H$204,$J$175:$J$204,"中",$K$175:$K$204,"準")+SUMIFS($H$218:$H$247,$J$218:$J$247,"中",$K$218:$K$247,"準")+SUMIFS($U$89:$U$118,$W$89:$W$118,"中",$X$89:$X$118,"準")+SUMIFS($U$132:$U$161,$W$132:$W$161,"中",$X$132:$X$161,"準")+SUMIFS($U$175:$U$204,$W$175:$W$204,"中",$X$175:$X$204,"準")+SUMIFS($U$218:$U$247,$W$218:$W$247,"中",$X$218:$X$247,"準")</f>
        <v>0</v>
      </c>
      <c r="BW12" s="174">
        <f>SUMIFS($I$13:$I$22,$J$13:$J$22,"中",$K$13:$K$22,"準")+SUMIFS($V$13:$V$22,$W$13:$W$22,"中",$X$13:$X$22,"準")+SUMIFS($I$46:$I$75,$J$46:$J$75,"中",$K$46:$K$75,"準")+SUMIFS($V$46:$V$75,$W$46:$W$75,"中",$X$46:$X$75,"準")+SUMIFS($I$89:$I$118,$J$89:$J$118,"中",$K$89:$K$118,"準")+SUMIFS($I$132:$I$161,$J$132:$J$161,"中",$K$132:$K$161,"準")+SUMIFS($I$175:$I$204,$J$175:$J$204,"中",$K$175:$K$204,"準")+SUMIFS($I$218:$I$247,$J$218:$J$247,"中",$K$218:$K$247,"準")+SUMIFS($V$89:$V$118,$W$89:$W$118,"中",$X$89:$X$118,"準")+SUMIFS($V$132:$V$161,$W$132:$W$161,"中",$X$132:$X$161,"準")+SUMIFS($V$175:$V$204,$W$175:$W$204,"中",$X$175:$X$204,"準")+SUMIFS($V$218:$V$247,$W$218:$W$247,"中",$X$218:$X$247,"準")</f>
        <v>0</v>
      </c>
      <c r="BX12" s="188"/>
      <c r="BY12" s="188"/>
      <c r="BZ12" s="188"/>
      <c r="CA12" s="188"/>
      <c r="CC12" s="302" t="str">
        <f t="shared" si="7"/>
        <v>小泊/特</v>
      </c>
      <c r="CD12" s="312">
        <f t="shared" ref="CD12:CD25" si="8">BT13</f>
        <v>0</v>
      </c>
      <c r="CE12" s="754">
        <f>IF(OR(BT13="",BT13=0),0,115)</f>
        <v>0</v>
      </c>
      <c r="CF12" s="754">
        <v>330</v>
      </c>
      <c r="CG12" s="761">
        <v>115</v>
      </c>
      <c r="CH12" s="302">
        <v>10</v>
      </c>
      <c r="CI12" s="296" t="e">
        <f t="shared" si="0"/>
        <v>#REF!</v>
      </c>
      <c r="CJ12" s="296" t="e">
        <f t="shared" si="1"/>
        <v>#REF!</v>
      </c>
      <c r="CK12" s="292" t="e">
        <f t="shared" si="2"/>
        <v>#REF!</v>
      </c>
      <c r="CL12" s="308"/>
    </row>
    <row r="13" spans="1:95" ht="26.1" customHeight="1">
      <c r="A13" s="542">
        <v>1</v>
      </c>
      <c r="B13" s="1920"/>
      <c r="C13" s="1908"/>
      <c r="D13" s="1908"/>
      <c r="E13" s="1908"/>
      <c r="F13" s="1908"/>
      <c r="G13" s="1909"/>
      <c r="H13" s="543"/>
      <c r="I13" s="544"/>
      <c r="J13" s="545"/>
      <c r="K13" s="928"/>
      <c r="L13" s="928"/>
      <c r="M13" s="928"/>
      <c r="N13" s="920">
        <v>11</v>
      </c>
      <c r="O13" s="1920"/>
      <c r="P13" s="1908"/>
      <c r="Q13" s="1908"/>
      <c r="R13" s="1908"/>
      <c r="S13" s="1908"/>
      <c r="T13" s="1909"/>
      <c r="U13" s="543"/>
      <c r="V13" s="544"/>
      <c r="W13" s="545"/>
      <c r="X13" s="928"/>
      <c r="Y13" s="928"/>
      <c r="Z13" s="545"/>
      <c r="AA13" s="542">
        <v>1</v>
      </c>
      <c r="AB13" s="1920" t="s">
        <v>3059</v>
      </c>
      <c r="AC13" s="1908"/>
      <c r="AD13" s="1908"/>
      <c r="AE13" s="1908"/>
      <c r="AF13" s="1908"/>
      <c r="AG13" s="1909"/>
      <c r="AH13" s="543">
        <v>1</v>
      </c>
      <c r="AI13" s="544"/>
      <c r="AJ13" s="545" t="s">
        <v>3030</v>
      </c>
      <c r="AK13" s="875"/>
      <c r="AL13" s="875"/>
      <c r="AM13" s="875"/>
      <c r="AN13" s="546">
        <v>11</v>
      </c>
      <c r="AO13" s="1920" t="s">
        <v>3126</v>
      </c>
      <c r="AP13" s="1908"/>
      <c r="AQ13" s="1908"/>
      <c r="AR13" s="1908"/>
      <c r="AS13" s="1908"/>
      <c r="AT13" s="1909"/>
      <c r="AU13" s="543">
        <v>1</v>
      </c>
      <c r="AV13" s="544"/>
      <c r="AW13" s="545" t="s">
        <v>547</v>
      </c>
      <c r="AX13" s="875"/>
      <c r="AY13" s="875"/>
      <c r="AZ13" s="875"/>
      <c r="BA13" s="83">
        <v>1</v>
      </c>
      <c r="BB13" s="84">
        <f t="shared" ref="BB13:BB22" si="9">COUNTA(H13:I13)</f>
        <v>0</v>
      </c>
      <c r="BC13" s="85">
        <f t="shared" ref="BC13:BC22" si="10">COUNTA(K13)</f>
        <v>0</v>
      </c>
      <c r="BD13" s="86">
        <f t="shared" ref="BD13:BE22" si="11">BB13-COUNTA(H13)</f>
        <v>0</v>
      </c>
      <c r="BE13" s="86">
        <f t="shared" si="11"/>
        <v>0</v>
      </c>
      <c r="BF13" s="194" t="s">
        <v>516</v>
      </c>
      <c r="BG13" s="162">
        <f>COUNTIF(K13:$M$22,"特")</f>
        <v>0</v>
      </c>
      <c r="BH13" s="163">
        <f>COUNTIF(X13:$Z$22,"特")</f>
        <v>0</v>
      </c>
      <c r="BI13" s="162">
        <f>COUNTIF(K46:$M$75,"特")</f>
        <v>0</v>
      </c>
      <c r="BJ13" s="162">
        <f>COUNTIF(X46:$Z$75,"特")</f>
        <v>0</v>
      </c>
      <c r="BK13" s="162">
        <f>COUNTIF(K89:$M$118,"特")</f>
        <v>0</v>
      </c>
      <c r="BL13" s="162">
        <f>COUNTIF(X89:$Z$118,"特")</f>
        <v>0</v>
      </c>
      <c r="BM13" s="162">
        <f>COUNTIF(K132:$M$161,"特")</f>
        <v>0</v>
      </c>
      <c r="BN13" s="162">
        <f>COUNTIF(X132:$Z$161,"特")</f>
        <v>0</v>
      </c>
      <c r="BO13" s="162">
        <f>COUNTIF(K175:$M$204,"特")</f>
        <v>0</v>
      </c>
      <c r="BP13" s="162">
        <f>COUNTIF(X175:$Z$204,"特")</f>
        <v>0</v>
      </c>
      <c r="BQ13" s="162">
        <f>COUNTIF(K218:$M$247,"特")</f>
        <v>0</v>
      </c>
      <c r="BR13" s="164">
        <f>COUNTIF(X218:$Z$247,"特")</f>
        <v>0</v>
      </c>
      <c r="BS13" s="165">
        <f t="shared" ref="BS13:BS26" si="12">SUM(BG13:BR13)</f>
        <v>0</v>
      </c>
      <c r="BT13" s="166">
        <f>SUMIFS($H$13:$H$22,$J$13:$J$22,"小",$K$13:$K$22,"特")+SUMIFS($U$13:$U$22,$W$13:$W$22,"小",$X$13:$X$22,"特")+SUMIFS($H$46:$H$75,$J$46:$J$75,"小",$K$46:$K$75,"特")+SUMIFS($U$46:$U$75,$W$46:$W$75,"小",$X$46:$X$75,"特")+SUMIFS($H$89:$H$118,$J$89:$J$118,"小",$K$89:$K$118,"特")+SUMIFS($H$132:$H$161,$J$132:$J$161,"小",$K$132:$K$161,"特")+SUMIFS($H$175:$H$204,$J$175:$J$204,"小",$K$175:$K$204,"特")+SUMIFS($H$218:$H$247,$J$218:$J$247,"小",$K$218:$K$247,"特")+SUMIFS($U$89:$U$118,$W$89:$W$118,"小",$X$89:$X$118,"特")+SUMIFS($U$132:$U$161,$W$132:$W$161,"小",$X$132:$X$161,"特")+SUMIFS($U$175:$U$204,$W$175:$W$204,"小",$X$175:$X$204,"特")+SUMIFS($U$218:$U$247,$W$218:$W$247,"小",$X$218:$X$247,"特")</f>
        <v>0</v>
      </c>
      <c r="BU13" s="166">
        <f>SUMIFS($I$13:$I$22,$J$13:$J$22,"小",$K$13:$K$22,"特")+SUMIFS($V$13:$V$22,$W$13:$W$22,"小",$X$13:$X$22,"特")+SUMIFS($I$46:$I$75,$J$46:$J$75,"小",$K$46:$K$75,"特")+SUMIFS($V$46:$V$75,$W$46:$W$75,"小",$X$46:$X$75,"特")+SUMIFS($I$89:$I$118,$J$89:$J$118,"小",$K$89:$K$118,"特")+SUMIFS($I$132:$I$161,$J$132:$J$161,"小",$K$132:$K$161,"特")+SUMIFS($I$175:$I$204,$J$175:$J$204,"小",$K$175:$K$204,"特")+SUMIFS($I$218:$I$247,$J$218:$J$247,"小",$K$218:$K$247,"特")+SUMIFS($V$89:$V$118,$W$89:$W$118,"小",$X$89:$X$118,"特")+SUMIFS($V$132:$V$161,$W$132:$W$161,"小",$X$132:$X$161,"特")+SUMIFS($V$175:$V$204,$W$175:$W$204,"小",$X$175:$X$204,"特")+SUMIFS($V$218:$V$247,$W$218:$W$247,"小",$X$218:$X$247,"特")</f>
        <v>0</v>
      </c>
      <c r="BV13" s="166">
        <f>SUMIFS($H$13:$H$22,$J$13:$J$22,"中",$K$13:$K$22,"特")+SUMIFS($U$13:$U$22,$W$13:$W$22,"中",$X$13:$X$22,"特")+SUMIFS($H$46:$H$75,$J$46:$J$75,"中",$K$46:$K$75,"特")+SUMIFS($U$46:$U$75,$W$46:$W$75,"中",$X$46:$X$75,"特")+SUMIFS($H$89:$H$118,$J$89:$J$118,"中",$K$89:$K$118,"特")+SUMIFS($H$132:$H$161,$J$132:$J$161,"中",$K$132:$K$161,"特")+SUMIFS($H$175:$H$204,$J$175:$J$204,"中",$K$175:$K$204,"特")+SUMIFS($H$218:$H$247,$J$218:$J$247,"中",$K$218:$K$247,"特")+SUMIFS($U$89:$U$118,$W$89:$W$118,"中",$X$89:$X$118,"特")+SUMIFS($U$132:$U$161,$W$132:$W$161,"中",$X$132:$X$161,"特")+SUMIFS($U$175:$U$204,$W$175:$W$204,"中",$X$175:$X$204,"特")+SUMIFS($U$218:$U$247,$W$218:$W$247,"中",$X$218:$X$247,"特")</f>
        <v>0</v>
      </c>
      <c r="BW13" s="174">
        <f>SUMIFS($I$13:$I$22,$J$13:$J$22,"中",$K$13:$K$22,"特")+SUMIFS($V$13:$V$22,$W$13:$W$22,"中",$X$13:$X$22,"特")+SUMIFS($I$46:$I$75,$J$46:$J$75,"中",$K$46:$K$75,"特")+SUMIFS($V$46:$V$75,$W$46:$W$75,"中",$X$46:$X$75,"特")+SUMIFS($I$89:$I$118,$J$89:$J$118,"中",$K$89:$K$118,"特")+SUMIFS($I$132:$I$161,$J$132:$J$161,"中",$K$132:$K$161,"特")+SUMIFS($I$175:$I$204,$J$175:$J$204,"中",$K$175:$K$204,"特")+SUMIFS($I$218:$I$247,$J$218:$J$247,"中",$K$218:$K$247,"特")+SUMIFS($V$89:$V$118,$W$89:$W$118,"中",$X$89:$X$118,"特")+SUMIFS($V$132:$V$161,$W$132:$W$161,"中",$X$132:$X$161,"特")+SUMIFS($V$175:$V$204,$W$175:$W$204,"中",$X$175:$X$204,"特")+SUMIFS($V$218:$V$247,$W$218:$W$247,"中",$X$218:$X$247,"特")</f>
        <v>0</v>
      </c>
      <c r="BX13" s="189"/>
      <c r="BY13" s="189"/>
      <c r="BZ13" s="189"/>
      <c r="CA13" s="189"/>
      <c r="CC13" s="302" t="str">
        <f t="shared" si="7"/>
        <v>小泊/身</v>
      </c>
      <c r="CD13" s="312">
        <f t="shared" si="8"/>
        <v>0</v>
      </c>
      <c r="CE13" s="754">
        <f>IF(OR(BT14="",BT14=0),0,114)</f>
        <v>0</v>
      </c>
      <c r="CF13" s="754">
        <v>330</v>
      </c>
      <c r="CG13" s="761">
        <v>114</v>
      </c>
      <c r="CH13" s="211">
        <v>11</v>
      </c>
      <c r="CI13" s="296" t="e">
        <f t="shared" si="0"/>
        <v>#REF!</v>
      </c>
      <c r="CJ13" s="296" t="e">
        <f t="shared" si="1"/>
        <v>#REF!</v>
      </c>
      <c r="CK13" s="292" t="e">
        <f t="shared" si="2"/>
        <v>#REF!</v>
      </c>
      <c r="CL13" s="56"/>
    </row>
    <row r="14" spans="1:95" ht="26.1" customHeight="1">
      <c r="A14" s="542">
        <v>2</v>
      </c>
      <c r="B14" s="1920"/>
      <c r="C14" s="1908"/>
      <c r="D14" s="1908"/>
      <c r="E14" s="1908"/>
      <c r="F14" s="1908"/>
      <c r="G14" s="1909"/>
      <c r="H14" s="543"/>
      <c r="I14" s="544"/>
      <c r="J14" s="545"/>
      <c r="K14" s="928"/>
      <c r="L14" s="928"/>
      <c r="M14" s="921"/>
      <c r="N14" s="546">
        <v>12</v>
      </c>
      <c r="O14" s="1920"/>
      <c r="P14" s="1908"/>
      <c r="Q14" s="1908"/>
      <c r="R14" s="1908"/>
      <c r="S14" s="1908"/>
      <c r="T14" s="1909"/>
      <c r="U14" s="543"/>
      <c r="V14" s="544"/>
      <c r="W14" s="545"/>
      <c r="X14" s="928"/>
      <c r="Y14" s="928"/>
      <c r="Z14" s="545"/>
      <c r="AA14" s="542">
        <v>2</v>
      </c>
      <c r="AB14" s="1920" t="s">
        <v>3060</v>
      </c>
      <c r="AC14" s="1908"/>
      <c r="AD14" s="1908"/>
      <c r="AE14" s="1908"/>
      <c r="AF14" s="1908"/>
      <c r="AG14" s="1909"/>
      <c r="AH14" s="543">
        <v>1</v>
      </c>
      <c r="AI14" s="544"/>
      <c r="AJ14" s="545" t="s">
        <v>3015</v>
      </c>
      <c r="AK14" s="875"/>
      <c r="AL14" s="875"/>
      <c r="AM14" s="921"/>
      <c r="AN14" s="547">
        <v>12</v>
      </c>
      <c r="AO14" s="1920" t="s">
        <v>3062</v>
      </c>
      <c r="AP14" s="1908"/>
      <c r="AQ14" s="1908"/>
      <c r="AR14" s="1908"/>
      <c r="AS14" s="1908"/>
      <c r="AT14" s="1909"/>
      <c r="AU14" s="543">
        <v>1</v>
      </c>
      <c r="AV14" s="544"/>
      <c r="AW14" s="545" t="s">
        <v>547</v>
      </c>
      <c r="AX14" s="875"/>
      <c r="AY14" s="875"/>
      <c r="AZ14" s="875"/>
      <c r="BA14" s="83">
        <v>2</v>
      </c>
      <c r="BB14" s="84">
        <f t="shared" si="9"/>
        <v>0</v>
      </c>
      <c r="BC14" s="85">
        <f t="shared" si="10"/>
        <v>0</v>
      </c>
      <c r="BD14" s="86">
        <f t="shared" si="11"/>
        <v>0</v>
      </c>
      <c r="BE14" s="86">
        <f t="shared" si="11"/>
        <v>0</v>
      </c>
      <c r="BF14" s="193" t="s">
        <v>517</v>
      </c>
      <c r="BG14" s="147">
        <f>COUNTIF($K$13:$M$22,"身")</f>
        <v>0</v>
      </c>
      <c r="BH14" s="146">
        <f>COUNTIF(X13:$Z$22,"身")</f>
        <v>0</v>
      </c>
      <c r="BI14" s="147">
        <f>COUNTIF(K46:$M$75,"身")</f>
        <v>0</v>
      </c>
      <c r="BJ14" s="147">
        <f>COUNTIF(X46:$Z$75,"身")</f>
        <v>0</v>
      </c>
      <c r="BK14" s="147">
        <f>COUNTIF(K89:$M$118,"身")</f>
        <v>0</v>
      </c>
      <c r="BL14" s="147">
        <f>COUNTIF(X89:$Z$118,"身")</f>
        <v>0</v>
      </c>
      <c r="BM14" s="147">
        <f>COUNTIF(K132:$M$161,"身")</f>
        <v>0</v>
      </c>
      <c r="BN14" s="147">
        <f>COUNTIF(X132:$Z$161,"身")</f>
        <v>0</v>
      </c>
      <c r="BO14" s="147">
        <f>COUNTIF(K175:$M$204,"身")</f>
        <v>0</v>
      </c>
      <c r="BP14" s="147">
        <f>COUNTIF(X175:$Z$204,"身")</f>
        <v>0</v>
      </c>
      <c r="BQ14" s="147">
        <f>COUNTIF(K218:$M$247,"身")</f>
        <v>0</v>
      </c>
      <c r="BR14" s="148">
        <f>COUNTIF(X218:$Z$247,"身")</f>
        <v>0</v>
      </c>
      <c r="BS14" s="149">
        <f t="shared" si="12"/>
        <v>0</v>
      </c>
      <c r="BT14" s="167">
        <f>SUMIFS($H$13:$H$22,$J$13:$J$22,"小",$K$13:$K$22,"身")+SUMIFS($U$13:$U$22,$W$13:$W$22,"小",$X$13:$X$22,"身")+SUMIFS($H$46:$H$75,$J$46:$J$75,"小",$K$46:$K$75,"身")+SUMIFS($U$46:$U$75,$W$46:$W$75,"小",$X$46:$X$75,"身")+SUMIFS($H$89:$H$118,$J$89:$J$118,"小",$K$89:$K$118,"身")+SUMIFS($H$132:$H$161,$J$132:$J$161,"小",$K$132:$K$161,"身")+SUMIFS($H$175:$H$204,$J$175:$J$204,"小",$K$175:$K$204,"身")+SUMIFS($H$218:$H$247,$J$218:$J$247,"小",$K$218:$K$247,"身")+SUMIFS($U$89:$U$118,$W$89:$W$118,"小",$X$89:$X$118,"身")+SUMIFS($U$132:$U$161,$W$132:$W$161,"小",$X$132:$X$161,"身")+SUMIFS($U$175:$U$204,$W$175:$W$204,"小",$X$175:$X$204,"身")+SUMIFS($U$218:$U$247,$W$218:$W$247,"小",$X$218:$X$247,"身")</f>
        <v>0</v>
      </c>
      <c r="BU14" s="167">
        <f>SUMIFS($I$13:$I$22,$J$13:$J$22,"小",$K$13:$K$22,"身")+SUMIFS($V$13:$V$22,$W$13:$W$22,"小",$X$13:$X$22,"身")+SUMIFS($I$46:$I$75,$J$46:$J$75,"小",$K$46:$K$75,"身")+SUMIFS($V$46:$V$75,$W$46:$W$75,"小",$X$46:$X$75,"身")+SUMIFS($I$89:$I$118,$J$89:$J$118,"小",$K$89:$K$118,"身")+SUMIFS($I$132:$I$161,$J$132:$J$161,"小",$K$132:$K$161,"身")+SUMIFS($I$175:$I$204,$J$175:$J$204,"小",$K$175:$K$204,"身")+SUMIFS($I$218:$I$247,$J$218:$J$247,"小",$K$218:$K$247,"身")+SUMIFS($V$89:$V$118,$W$89:$W$118,"小",$X$89:$X$118,"身")+SUMIFS($V$132:$V$161,$W$132:$W$161,"小",$X$132:$X$161,"身")+SUMIFS($V$175:$V$204,$W$175:$W$204,"小",$X$175:$X$204,"身")+SUMIFS($V$218:$V$247,$W$218:$W$247,"小",$X$218:$X$247,"身")</f>
        <v>0</v>
      </c>
      <c r="BV14" s="167">
        <f>SUMIFS($H$13:$H$22,$J$13:$J$22,"中",$K$13:$K$22,"身")+SUMIFS($U$13:$U$22,$W$13:$W$22,"中",$X$13:$X$22,"身")+SUMIFS($H$46:$H$75,$J$46:$J$75,"中",$K$46:$K$75,"身")+SUMIFS($U$46:$U$75,$W$46:$W$75,"中",$X$46:$X$75,"身")+SUMIFS($H$89:$H$118,$J$89:$J$118,"中",$K$89:$K$118,"身")+SUMIFS($H$132:$H$161,$J$132:$J$161,"中",$K$132:$K$161,"身")+SUMIFS($H$175:$H$204,$J$175:$J$204,"中",$K$175:$K$204,"身")+SUMIFS($H$218:$H$247,$J$218:$J$247,"中",$K$218:$K$247,"身")+SUMIFS($U$89:$U$118,$W$89:$W$118,"中",$X$89:$X$118,"身")+SUMIFS($U$132:$U$161,$W$132:$W$161,"中",$X$132:$X$161,"身")+SUMIFS($U$175:$U$204,$W$175:$W$204,"中",$X$175:$X$204,"身")+SUMIFS($U$218:$U$247,$W$218:$W$247,"中",$X$218:$X$247,"身")</f>
        <v>0</v>
      </c>
      <c r="BW14" s="175">
        <f>SUMIFS($I$13:$I$22,$J$13:$J$22,"中",$K$13:$K$22,"身")+SUMIFS($V$13:$V$22,$W$13:$W$22,"中",$X$13:$X$22,"身")+SUMIFS($I$46:$I$75,$J$46:$J$75,"中",$K$46:$K$75,"身")+SUMIFS($V$46:$V$75,$W$46:$W$75,"中",$X$46:$X$75,"身")+SUMIFS($I$89:$I$118,$J$89:$J$118,"中",$K$89:$K$118,"身")+SUMIFS($I$132:$I$161,$J$132:$J$161,"中",$K$132:$K$161,"身")+SUMIFS($I$175:$I$204,$J$175:$J$204,"中",$K$175:$K$204,"身")+SUMIFS($I$218:$I$247,$J$218:$J$247,"中",$K$218:$K$247,"身")+SUMIFS($V$89:$V$118,$W$89:$W$118,"中",$X$89:$X$118,"身")+SUMIFS($V$132:$V$161,$W$132:$W$161,"中",$X$132:$X$161,"身")+SUMIFS($V$175:$V$204,$W$175:$W$204,"中",$X$175:$X$204,"身")+SUMIFS($V$218:$V$247,$W$218:$W$247,"中",$X$218:$X$247,"身")</f>
        <v>0</v>
      </c>
      <c r="BX14" s="180"/>
      <c r="BY14" s="180"/>
      <c r="BZ14" s="180"/>
      <c r="CA14" s="180"/>
      <c r="CC14" s="302" t="str">
        <f t="shared" si="7"/>
        <v>小泊/療</v>
      </c>
      <c r="CD14" s="312">
        <f t="shared" si="8"/>
        <v>0</v>
      </c>
      <c r="CE14" s="754">
        <f>IF(OR(BT15="",BT15=0),0,113)</f>
        <v>0</v>
      </c>
      <c r="CF14" s="754">
        <v>330</v>
      </c>
      <c r="CG14" s="761">
        <v>113</v>
      </c>
      <c r="CH14" s="211">
        <v>12</v>
      </c>
      <c r="CI14" s="296" t="e">
        <f t="shared" si="0"/>
        <v>#REF!</v>
      </c>
      <c r="CJ14" s="296" t="e">
        <f t="shared" si="1"/>
        <v>#REF!</v>
      </c>
      <c r="CK14" s="292" t="e">
        <f t="shared" si="2"/>
        <v>#REF!</v>
      </c>
      <c r="CL14" s="56"/>
    </row>
    <row r="15" spans="1:95" ht="26.1" customHeight="1">
      <c r="A15" s="542">
        <v>3</v>
      </c>
      <c r="B15" s="1920"/>
      <c r="C15" s="1908"/>
      <c r="D15" s="1908"/>
      <c r="E15" s="1908"/>
      <c r="F15" s="1908"/>
      <c r="G15" s="1909"/>
      <c r="H15" s="543"/>
      <c r="I15" s="544"/>
      <c r="J15" s="545"/>
      <c r="K15" s="928"/>
      <c r="L15" s="928"/>
      <c r="M15" s="921"/>
      <c r="N15" s="546">
        <v>13</v>
      </c>
      <c r="O15" s="1920"/>
      <c r="P15" s="1908"/>
      <c r="Q15" s="1908"/>
      <c r="R15" s="1908"/>
      <c r="S15" s="1908"/>
      <c r="T15" s="1909"/>
      <c r="U15" s="543"/>
      <c r="V15" s="544"/>
      <c r="W15" s="545"/>
      <c r="X15" s="928"/>
      <c r="Y15" s="928"/>
      <c r="Z15" s="545"/>
      <c r="AA15" s="542">
        <v>3</v>
      </c>
      <c r="AB15" s="1920" t="s">
        <v>3061</v>
      </c>
      <c r="AC15" s="1908"/>
      <c r="AD15" s="1908"/>
      <c r="AE15" s="1908"/>
      <c r="AF15" s="1908"/>
      <c r="AG15" s="1909"/>
      <c r="AH15" s="543">
        <v>1</v>
      </c>
      <c r="AI15" s="544"/>
      <c r="AJ15" s="545" t="s">
        <v>3029</v>
      </c>
      <c r="AK15" s="875"/>
      <c r="AL15" s="875"/>
      <c r="AM15" s="921"/>
      <c r="AN15" s="547">
        <v>13</v>
      </c>
      <c r="AO15" s="1920"/>
      <c r="AP15" s="1908"/>
      <c r="AQ15" s="1908"/>
      <c r="AR15" s="1908"/>
      <c r="AS15" s="1908"/>
      <c r="AT15" s="1909"/>
      <c r="AU15" s="543"/>
      <c r="AV15" s="544"/>
      <c r="AW15" s="545"/>
      <c r="AX15" s="875"/>
      <c r="AY15" s="875"/>
      <c r="AZ15" s="875"/>
      <c r="BA15" s="83">
        <v>3</v>
      </c>
      <c r="BB15" s="84">
        <f t="shared" si="9"/>
        <v>0</v>
      </c>
      <c r="BC15" s="85">
        <f t="shared" si="10"/>
        <v>0</v>
      </c>
      <c r="BD15" s="86">
        <f t="shared" si="11"/>
        <v>0</v>
      </c>
      <c r="BE15" s="86">
        <f t="shared" si="11"/>
        <v>0</v>
      </c>
      <c r="BF15" s="193" t="s">
        <v>518</v>
      </c>
      <c r="BG15" s="147">
        <f>COUNTIF($K$13:$M$22,"療")</f>
        <v>0</v>
      </c>
      <c r="BH15" s="146">
        <f>COUNTIF($X$13:$Z$22,"療")</f>
        <v>0</v>
      </c>
      <c r="BI15" s="147">
        <f>COUNTIF($K$46:$M$75,"療")</f>
        <v>0</v>
      </c>
      <c r="BJ15" s="147">
        <f>COUNTIF($X$46:$Z$75,"療")</f>
        <v>0</v>
      </c>
      <c r="BK15" s="147">
        <f>COUNTIF($K$89:$M$118,"療")</f>
        <v>0</v>
      </c>
      <c r="BL15" s="147">
        <f>COUNTIF($X$89:$Z$118,"療")</f>
        <v>0</v>
      </c>
      <c r="BM15" s="147">
        <f>COUNTIF($K$132:$M$161,"療")</f>
        <v>0</v>
      </c>
      <c r="BN15" s="147">
        <f>COUNTIF($X$132:$Z$161,"療")</f>
        <v>0</v>
      </c>
      <c r="BO15" s="147">
        <f>COUNTIF($K$175:$M$204,"療")</f>
        <v>0</v>
      </c>
      <c r="BP15" s="147">
        <f>COUNTIF($X$175:$Z$204,"療")</f>
        <v>0</v>
      </c>
      <c r="BQ15" s="147">
        <f>COUNTIF($K$218:$M$247,"療")</f>
        <v>0</v>
      </c>
      <c r="BR15" s="148">
        <f>COUNTIF($X$218:$Z$247,"療")</f>
        <v>0</v>
      </c>
      <c r="BS15" s="149">
        <f t="shared" si="12"/>
        <v>0</v>
      </c>
      <c r="BT15" s="167">
        <f>SUMIFS($H$13:$H$22,$J$13:$J$22,"小",$K$13:$K$22,"療")+SUMIFS($U$13:$U$22,$W$13:$W$22,"小",$X$13:$X$22,"療")+SUMIFS($H$46:$H$75,$J$46:$J$75,"小",$K$46:$K$75,"療")+SUMIFS($U$46:$U$75,$W$46:$W$75,"小",$X$46:$X$75,"療")+SUMIFS($H$89:$H$118,$J$89:$J$118,"小",$K$89:$K$118,"療")+SUMIFS($H$132:$H$161,$J$132:$J$161,"小",$K$132:$K$161,"療")+SUMIFS($H$175:$H$204,$J$175:$J$204,"小",$K$175:$K$204,"療")+SUMIFS($H$218:$H$247,$J$218:$J$247,"小",$K$218:$K$247,"療")+SUMIFS($U$89:$U$118,$W$89:$W$118,"小",$X$89:$X$118,"療")+SUMIFS($U$132:$U$161,$W$132:$W$161,"小",$X$132:$X$161,"療")+SUMIFS($U$175:$U$204,$W$175:$W$204,"小",$X$175:$X$204,"療")+SUMIFS($U$218:$U$247,$W$218:$W$247,"小",$X$218:$X$247,"療")</f>
        <v>0</v>
      </c>
      <c r="BU15" s="167">
        <f>SUMIFS($I$13:$I$22,$J$13:$J$22,"小",$K$13:$K$22,"療")+SUMIFS($V$13:$V$22,$W$13:$W$22,"小",$X$13:$X$22,"療")+SUMIFS($I$46:$I$75,$J$46:$J$75,"小",$K$46:$K$75,"療")+SUMIFS($V$46:$V$75,$W$46:$W$75,"小",$X$46:$X$75,"療")+SUMIFS($I$89:$I$118,$J$89:$J$118,"小",$K$89:$K$118,"療")+SUMIFS($I$132:$I$161,$J$132:$J$161,"小",$K$132:$K$161,"療")+SUMIFS($I$175:$I$204,$J$175:$J$204,"小",$K$175:$K$204,"療")+SUMIFS($I$218:$I$247,$J$218:$J$247,"小",$K$218:$K$247,"療")+SUMIFS($V$89:$V$118,$W$89:$W$118,"小",$X$89:$X$118,"療")+SUMIFS($V$132:$V$161,$W$132:$W$161,"小",$X$132:$X$161,"療")+SUMIFS($V$175:$V$204,$W$175:$W$204,"小",$X$175:$X$204,"療")+SUMIFS($V$218:$V$247,$W$218:$W$247,"小",$X$218:$X$247,"療")</f>
        <v>0</v>
      </c>
      <c r="BV15" s="167">
        <f>SUMIFS($H$13:$H$22,$J$13:$J$22,"中",$K$13:$K$22,"療")+SUMIFS($U$13:$U$22,$W$13:$W$22,"中",$X$13:$X$22,"療")+SUMIFS($H$46:$H$75,$J$46:$J$75,"中",$K$46:$K$75,"療")+SUMIFS($U$46:$U$75,$W$46:$W$75,"中",$X$46:$X$75,"療")+SUMIFS($H$89:$H$118,$J$89:$J$118,"中",$K$89:$K$118,"療")+SUMIFS($H$132:$H$161,$J$132:$J$161,"中",$K$132:$K$161,"療")+SUMIFS($H$175:$H$204,$J$175:$J$204,"中",$K$175:$K$204,"療")+SUMIFS($H$218:$H$247,$J$218:$J$247,"中",$K$218:$K$247,"療")+SUMIFS($U$89:$U$118,$W$89:$W$118,"中",$X$89:$X$118,"療")+SUMIFS($U$132:$U$161,$W$132:$W$161,"中",$X$132:$X$161,"療")+SUMIFS($U$175:$U$204,$W$175:$W$204,"中",$X$175:$X$204,"療")+SUMIFS($U$218:$U$247,$W$218:$W$247,"中",$X$218:$X$247,"療")</f>
        <v>0</v>
      </c>
      <c r="BW15" s="175">
        <f>SUMIFS($I$13:$I$22,$J$13:$J$22,"中",$K$13:$K$22,"療")+SUMIFS($V$13:$V$22,$W$13:$W$22,"中",$X$13:$X$22,"療")+SUMIFS($I$46:$I$75,$J$46:$J$75,"中",$K$46:$K$75,"療")+SUMIFS($V$46:$V$75,$W$46:$W$75,"中",$X$46:$X$75,"療")+SUMIFS($I$89:$I$118,$J$89:$J$118,"中",$K$89:$K$118,"療")+SUMIFS($I$132:$I$161,$J$132:$J$161,"中",$K$132:$K$161,"療")+SUMIFS($I$175:$I$204,$J$175:$J$204,"中",$K$175:$K$204,"療")+SUMIFS($I$218:$I$247,$J$218:$J$247,"中",$K$218:$K$247,"療")+SUMIFS($V$89:$V$118,$W$89:$W$118,"中",$X$89:$X$118,"療")+SUMIFS($V$132:$V$161,$W$132:$W$161,"中",$X$132:$X$161,"療")+SUMIFS($V$175:$V$204,$W$175:$W$204,"中",$X$175:$X$204,"療")+SUMIFS($V$218:$V$247,$W$218:$W$247,"中",$X$218:$X$247,"療")</f>
        <v>0</v>
      </c>
      <c r="BX15" s="180"/>
      <c r="BY15" s="180"/>
      <c r="BZ15" s="180"/>
      <c r="CA15" s="180"/>
      <c r="CC15" s="302" t="str">
        <f t="shared" si="7"/>
        <v>小泊/精</v>
      </c>
      <c r="CD15" s="312">
        <f t="shared" si="8"/>
        <v>0</v>
      </c>
      <c r="CE15" s="754">
        <f>IF(OR(BT16="",BT16=0),0,112)</f>
        <v>0</v>
      </c>
      <c r="CF15" s="754">
        <v>330</v>
      </c>
      <c r="CG15" s="761">
        <v>112</v>
      </c>
      <c r="CH15" s="302">
        <v>13</v>
      </c>
      <c r="CI15" s="296" t="e">
        <f t="shared" si="0"/>
        <v>#REF!</v>
      </c>
      <c r="CJ15" s="296" t="e">
        <f t="shared" si="1"/>
        <v>#REF!</v>
      </c>
      <c r="CK15" s="292" t="e">
        <f t="shared" si="2"/>
        <v>#REF!</v>
      </c>
      <c r="CL15" s="56"/>
    </row>
    <row r="16" spans="1:95" ht="26.1" customHeight="1">
      <c r="A16" s="542">
        <v>4</v>
      </c>
      <c r="B16" s="1920"/>
      <c r="C16" s="1908"/>
      <c r="D16" s="1908"/>
      <c r="E16" s="1908"/>
      <c r="F16" s="1908"/>
      <c r="G16" s="1909"/>
      <c r="H16" s="543"/>
      <c r="I16" s="544"/>
      <c r="J16" s="545"/>
      <c r="K16" s="928"/>
      <c r="L16" s="928"/>
      <c r="M16" s="921"/>
      <c r="N16" s="546">
        <v>14</v>
      </c>
      <c r="O16" s="1920"/>
      <c r="P16" s="1908"/>
      <c r="Q16" s="1908"/>
      <c r="R16" s="1908"/>
      <c r="S16" s="1908"/>
      <c r="T16" s="1909"/>
      <c r="U16" s="543"/>
      <c r="V16" s="544"/>
      <c r="W16" s="545"/>
      <c r="X16" s="928"/>
      <c r="Y16" s="928"/>
      <c r="Z16" s="545"/>
      <c r="AA16" s="542">
        <v>4</v>
      </c>
      <c r="AB16" s="1920" t="s">
        <v>3055</v>
      </c>
      <c r="AC16" s="1908"/>
      <c r="AD16" s="1908"/>
      <c r="AE16" s="1908"/>
      <c r="AF16" s="1908"/>
      <c r="AG16" s="1909"/>
      <c r="AH16" s="543">
        <v>1</v>
      </c>
      <c r="AI16" s="544"/>
      <c r="AJ16" s="545" t="s">
        <v>3030</v>
      </c>
      <c r="AK16" s="875"/>
      <c r="AL16" s="875"/>
      <c r="AM16" s="921"/>
      <c r="AN16" s="547">
        <v>14</v>
      </c>
      <c r="AO16" s="1920"/>
      <c r="AP16" s="1908"/>
      <c r="AQ16" s="1908"/>
      <c r="AR16" s="1908"/>
      <c r="AS16" s="1908"/>
      <c r="AT16" s="1909"/>
      <c r="AU16" s="543"/>
      <c r="AV16" s="544"/>
      <c r="AW16" s="545"/>
      <c r="AX16" s="875"/>
      <c r="AY16" s="875"/>
      <c r="AZ16" s="875"/>
      <c r="BA16" s="83">
        <v>4</v>
      </c>
      <c r="BB16" s="84">
        <f t="shared" si="9"/>
        <v>0</v>
      </c>
      <c r="BC16" s="85">
        <f t="shared" si="10"/>
        <v>0</v>
      </c>
      <c r="BD16" s="86">
        <f t="shared" si="11"/>
        <v>0</v>
      </c>
      <c r="BE16" s="86">
        <f t="shared" si="11"/>
        <v>0</v>
      </c>
      <c r="BF16" s="193" t="s">
        <v>519</v>
      </c>
      <c r="BG16" s="147">
        <f>COUNTIF($K$13:$M$22,"精")</f>
        <v>0</v>
      </c>
      <c r="BH16" s="146">
        <f>COUNTIF($X$13:$Z$22,"精")</f>
        <v>0</v>
      </c>
      <c r="BI16" s="147">
        <f>COUNTIF($K$46:$M$75,"精")</f>
        <v>0</v>
      </c>
      <c r="BJ16" s="147">
        <f>COUNTIF($X$46:$Z$75,"精")</f>
        <v>0</v>
      </c>
      <c r="BK16" s="147">
        <f>COUNTIF($K$89:$M$118,"精")</f>
        <v>0</v>
      </c>
      <c r="BL16" s="147">
        <f>COUNTIF($X$89:$Z$118,"精")</f>
        <v>0</v>
      </c>
      <c r="BM16" s="147">
        <f>COUNTIF($K$132:$M$161,"精")</f>
        <v>0</v>
      </c>
      <c r="BN16" s="147">
        <f>COUNTIF($X$132:$Z$161,"精")</f>
        <v>0</v>
      </c>
      <c r="BO16" s="147">
        <f>COUNTIF($K$175:$M$204,"精")</f>
        <v>0</v>
      </c>
      <c r="BP16" s="147">
        <f>COUNTIF($X$175:$Z$204,"精")</f>
        <v>0</v>
      </c>
      <c r="BQ16" s="147">
        <f>COUNTIF($K$218:$M$247,"精")</f>
        <v>0</v>
      </c>
      <c r="BR16" s="148">
        <f>COUNTIF($X$218:$Z$247,"精")</f>
        <v>0</v>
      </c>
      <c r="BS16" s="149">
        <f t="shared" si="12"/>
        <v>0</v>
      </c>
      <c r="BT16" s="167">
        <f>SUMIFS($H$13:$H$22,$J$13:$J$22,"小",$K$13:$K$22,"精")+SUMIFS($U$13:$U$22,$W$13:$W$22,"小",$X$13:$X$22,"精")+SUMIFS($H$46:$H$75,$J$46:$J$75,"小",$K$46:$K$75,"精")+SUMIFS($U$46:$U$75,$W$46:$W$75,"小",$X$46:$X$75,"精")+SUMIFS($H$89:$H$118,$J$89:$J$118,"小",$K$89:$K$118,"精")+SUMIFS($H$132:$H$161,$J$132:$J$161,"小",$K$132:$K$161,"精")+SUMIFS($H$175:$H$204,$J$175:$J$204,"小",$K$175:$K$204,"精")+SUMIFS($H$218:$H$247,$J$218:$J$247,"小",$K$218:$K$247,"精")+SUMIFS($U$89:$U$118,$W$89:$W$118,"小",$X$89:$X$118,"精")+SUMIFS($U$132:$U$161,$W$132:$W$161,"小",$X$132:$X$161,"精")+SUMIFS($U$175:$U$204,$W$175:$W$204,"小",$X$175:$X$204,"精")+SUMIFS($U$218:$U$247,$W$218:$W$247,"小",$X$218:$X$247,"精")</f>
        <v>0</v>
      </c>
      <c r="BU16" s="167">
        <f>SUMIFS($I$13:$I$22,$J$13:$J$22,"小",$K$13:$K$22,"精")+SUMIFS($V$13:$V$22,$W$13:$W$22,"小",$X$13:$X$22,"精")+SUMIFS($I$46:$I$75,$J$46:$J$75,"小",$K$46:$K$75,"精")+SUMIFS($V$46:$V$75,$W$46:$W$75,"小",$X$46:$X$75,"精")+SUMIFS($I$89:$I$118,$J$89:$J$118,"小",$K$89:$K$118,"精")+SUMIFS($I$132:$I$161,$J$132:$J$161,"小",$K$132:$K$161,"精")+SUMIFS($I$175:$I$204,$J$175:$J$204,"小",$K$175:$K$204,"精")+SUMIFS($I$218:$I$247,$J$218:$J$247,"小",$K$218:$K$247,"精")+SUMIFS($V$89:$V$118,$W$89:$W$118,"小",$X$89:$X$118,"精")+SUMIFS($V$132:$V$161,$W$132:$W$161,"小",$X$132:$X$161,"精")+SUMIFS($V$175:$V$204,$W$175:$W$204,"小",$X$175:$X$204,"精")+SUMIFS($V$218:$V$247,$W$218:$W$247,"小",$X$218:$X$247,"精")</f>
        <v>0</v>
      </c>
      <c r="BV16" s="167">
        <f>SUMIFS($H$13:$H$22,$J$13:$J$22,"中",$K$13:$K$22,"精")+SUMIFS($U$13:$U$22,$W$13:$W$22,"中",$X$13:$X$22,"精")+SUMIFS($H$46:$H$75,$J$46:$J$75,"中",$K$46:$K$75,"精")+SUMIFS($U$46:$U$75,$W$46:$W$75,"中",$X$46:$X$75,"精")+SUMIFS($H$89:$H$118,$J$89:$J$118,"中",$K$89:$K$118,"精")+SUMIFS($H$132:$H$161,$J$132:$J$161,"中",$K$132:$K$161,"精")+SUMIFS($H$175:$H$204,$J$175:$J$204,"中",$K$175:$K$204,"精")+SUMIFS($H$218:$H$247,$J$218:$J$247,"中",$K$218:$K$247,"精")+SUMIFS($U$89:$U$118,$W$89:$W$118,"中",$X$89:$X$118,"精")+SUMIFS($U$132:$U$161,$W$132:$W$161,"中",$X$132:$X$161,"精")+SUMIFS($U$175:$U$204,$W$175:$W$204,"中",$X$175:$X$204,"精")+SUMIFS($U$218:$U$247,$W$218:$W$247,"中",$X$218:$X$247,"精")</f>
        <v>0</v>
      </c>
      <c r="BW16" s="175">
        <f>SUMIFS($I$13:$I$22,$J$13:$J$22,"中",$K$13:$K$22,"精")+SUMIFS($V$13:$V$22,$W$13:$W$22,"中",$X$13:$X$22,"精")+SUMIFS($I$46:$I$75,$J$46:$J$75,"中",$K$46:$K$75,"精")+SUMIFS($V$46:$V$75,$W$46:$W$75,"中",$X$46:$X$75,"精")+SUMIFS($I$89:$I$118,$J$89:$J$118,"中",$K$89:$K$118,"精")+SUMIFS($I$132:$I$161,$J$132:$J$161,"中",$K$132:$K$161,"精")+SUMIFS($I$175:$I$204,$J$175:$J$204,"中",$K$175:$K$204,"精")+SUMIFS($I$218:$I$247,$J$218:$J$247,"中",$K$218:$K$247,"精")+SUMIFS($V$89:$V$118,$W$89:$W$118,"中",$X$89:$X$118,"精")+SUMIFS($V$132:$V$161,$W$132:$W$161,"中",$X$132:$X$161,"精")+SUMIFS($V$175:$V$204,$W$175:$W$204,"中",$X$175:$X$204,"精")+SUMIFS($V$218:$V$247,$W$218:$W$247,"中",$X$218:$X$247,"精")</f>
        <v>0</v>
      </c>
      <c r="BX16" s="180"/>
      <c r="BY16" s="180"/>
      <c r="BZ16" s="180"/>
      <c r="CA16" s="180"/>
      <c r="CC16" s="302" t="str">
        <f t="shared" si="7"/>
        <v>小泊/介添</v>
      </c>
      <c r="CD16" s="312">
        <f t="shared" si="8"/>
        <v>0</v>
      </c>
      <c r="CE16" s="754">
        <f>IF(OR(BT17="",BT17=0),0,111)</f>
        <v>0</v>
      </c>
      <c r="CF16" s="754">
        <v>330</v>
      </c>
      <c r="CG16" s="761">
        <v>111</v>
      </c>
      <c r="CH16" s="211">
        <v>14</v>
      </c>
      <c r="CI16" s="296" t="e">
        <f t="shared" si="0"/>
        <v>#REF!</v>
      </c>
      <c r="CJ16" s="296" t="e">
        <f t="shared" si="1"/>
        <v>#REF!</v>
      </c>
      <c r="CK16" s="292" t="e">
        <f t="shared" si="2"/>
        <v>#REF!</v>
      </c>
      <c r="CL16" s="56"/>
    </row>
    <row r="17" spans="1:90" ht="26.1" customHeight="1">
      <c r="A17" s="542">
        <v>5</v>
      </c>
      <c r="B17" s="1920"/>
      <c r="C17" s="1908"/>
      <c r="D17" s="1908"/>
      <c r="E17" s="1908"/>
      <c r="F17" s="1908"/>
      <c r="G17" s="1909"/>
      <c r="H17" s="543"/>
      <c r="I17" s="544"/>
      <c r="J17" s="545"/>
      <c r="K17" s="928"/>
      <c r="L17" s="928"/>
      <c r="M17" s="921"/>
      <c r="N17" s="546">
        <v>15</v>
      </c>
      <c r="O17" s="1920"/>
      <c r="P17" s="1908"/>
      <c r="Q17" s="1908"/>
      <c r="R17" s="1908"/>
      <c r="S17" s="1908"/>
      <c r="T17" s="1909"/>
      <c r="U17" s="543"/>
      <c r="V17" s="544"/>
      <c r="W17" s="545"/>
      <c r="X17" s="928"/>
      <c r="Y17" s="928"/>
      <c r="Z17" s="545"/>
      <c r="AA17" s="542">
        <v>5</v>
      </c>
      <c r="AB17" s="1920" t="s">
        <v>3056</v>
      </c>
      <c r="AC17" s="1908"/>
      <c r="AD17" s="1908"/>
      <c r="AE17" s="1908"/>
      <c r="AF17" s="1908"/>
      <c r="AG17" s="1909"/>
      <c r="AH17" s="543"/>
      <c r="AI17" s="544">
        <v>1</v>
      </c>
      <c r="AJ17" s="545" t="s">
        <v>3015</v>
      </c>
      <c r="AK17" s="875"/>
      <c r="AL17" s="875"/>
      <c r="AM17" s="921"/>
      <c r="AN17" s="547">
        <v>15</v>
      </c>
      <c r="AO17" s="1920"/>
      <c r="AP17" s="1908"/>
      <c r="AQ17" s="1908"/>
      <c r="AR17" s="1908"/>
      <c r="AS17" s="1908"/>
      <c r="AT17" s="1909"/>
      <c r="AU17" s="543"/>
      <c r="AV17" s="544"/>
      <c r="AW17" s="545"/>
      <c r="AX17" s="875"/>
      <c r="AY17" s="875"/>
      <c r="AZ17" s="875"/>
      <c r="BA17" s="83">
        <v>5</v>
      </c>
      <c r="BB17" s="84">
        <f t="shared" si="9"/>
        <v>0</v>
      </c>
      <c r="BC17" s="85">
        <f t="shared" si="10"/>
        <v>0</v>
      </c>
      <c r="BD17" s="86">
        <f t="shared" si="11"/>
        <v>0</v>
      </c>
      <c r="BE17" s="86">
        <f t="shared" si="11"/>
        <v>0</v>
      </c>
      <c r="BF17" s="195" t="s">
        <v>549</v>
      </c>
      <c r="BG17" s="184">
        <f>COUNTIF($K$13:$M$22,"介添")</f>
        <v>0</v>
      </c>
      <c r="BH17" s="187">
        <f>COUNTIF($X$13:$Z$22,"介添")</f>
        <v>0</v>
      </c>
      <c r="BI17" s="184">
        <f>COUNTIF($K$46:$M$75,"介添")</f>
        <v>0</v>
      </c>
      <c r="BJ17" s="184">
        <f>COUNTIF($X$46:$Z$75,"介添")</f>
        <v>0</v>
      </c>
      <c r="BK17" s="184">
        <f>COUNTIF($K$89:$M$118,"介添")</f>
        <v>0</v>
      </c>
      <c r="BL17" s="184">
        <f>COUNTIF($X$89:$Z$118,"介添")</f>
        <v>0</v>
      </c>
      <c r="BM17" s="184">
        <f>COUNTIF($K$132:$M$161,"介添")</f>
        <v>0</v>
      </c>
      <c r="BN17" s="184">
        <f>COUNTIF($X$132:$Z$161,"介添")</f>
        <v>0</v>
      </c>
      <c r="BO17" s="184">
        <f>COUNTIF($K$175:$M$204,"介添")</f>
        <v>0</v>
      </c>
      <c r="BP17" s="184">
        <f>COUNTIF($X$175:$Z$204,"介添")</f>
        <v>0</v>
      </c>
      <c r="BQ17" s="184">
        <f>COUNTIF($K$218:$M$247,"介添")</f>
        <v>0</v>
      </c>
      <c r="BR17" s="185">
        <f>COUNTIF($X$218:$Z$247,"介添")</f>
        <v>0</v>
      </c>
      <c r="BS17" s="186">
        <f t="shared" si="12"/>
        <v>0</v>
      </c>
      <c r="BT17" s="183"/>
      <c r="BU17" s="183"/>
      <c r="BV17" s="183"/>
      <c r="BW17" s="182"/>
      <c r="BX17" s="184">
        <f>SUMIFS($H$13:$H$22,$J$13:$J$22,"引",$K$13:$K$22,"介添")+SUMIFS($U$13:$U$22,$W$13:$W$22,"引",$X$13:$X$22,"介添")+SUMIFS($H$46:$H$75,$J$46:$J$75,"引",$K$46:$K$75,"介添")+SUMIFS($U$46:$U$75,$W$46:$W$75,"引",$X$46:$X$75,"介添")+SUMIFS($H$89:$H$118,$J$89:$J$118,"引",$K$89:$K$118,"介添")+SUMIFS($H$132:$H$161,$J$132:$J$161,"引",$K$132:$K$161,"介添")+SUMIFS($H$175:$H$204,$J$175:$J$204,"引",$K$175:$K$204,"介添")+SUMIFS($H$218:$H$247,$J$218:$J$247,"引",$K$218:$K$247,"介添")+SUMIFS($U$89:$U$118,$W$89:$W$118,"引",$X$89:$X$118,"介添")+SUMIFS($U$132:$U$161,$W$132:$W$161,"引",$X$132:$X$161,"介添")+SUMIFS($U$175:$U$204,$W$175:$W$204,"引",$X$175:$X$204,"介添")+SUMIFS($U$218:$U$247,$W$218:$W$247,"引",$X$218:$X$247,"介添")</f>
        <v>0</v>
      </c>
      <c r="BY17" s="184">
        <f>SUMIFS($I$13:$I$22,$J$13:$J$22,"引",$K$13:$K$22,"介添")+SUMIFS($V$13:$V$22,$W$13:$W$22,"引",$X$13:$X$22,"介添")+SUMIFS($I$46:$I$75,$J$46:$J$75,"引",$K$46:$K$75,"介添")+SUMIFS($V$46:$V$75,$W$46:$W$75,"引",$X$46:$X$75,"介添")+SUMIFS($I$89:$I$118,$J$89:$J$118,"引",$K$89:$K$118,"介添")+SUMIFS($I$132:$I$161,$J$132:$J$161,"引",$K$132:$K$161,"介添")+SUMIFS($I$175:$I$204,$J$175:$J$204,"引",$K$175:$K$204,"介添")+SUMIFS($I$218:$I$247,$J$218:$J$247,"引",$K$218:$K$247,"介添")+SUMIFS($V$89:$V$118,$W$89:$W$118,"引",$X$89:$X$118,"介添")+SUMIFS($V$132:$V$161,$W$132:$W$161,"引",$X$132:$X$161,"介添")+SUMIFS($V$175:$V$204,$W$175:$W$204,"引",$X$175:$X$204,"介添")+SUMIFS($V$218:$V$247,$W$218:$W$247,"引",$X$218:$X$247,"介添")</f>
        <v>0</v>
      </c>
      <c r="BZ17" s="204">
        <f>SUMIFS($H$13:$H$22,$J$13:$J$22,"一",$K$13:$K$22,"介添")+SUMIFS($U$13:$U$22,$W$13:$W$22,"一",$X$13:$X$22,"介添")+SUMIFS($H$46:$H$75,$J$46:$J$75,"一",$K$46:$K$75,"介添")+SUMIFS($U$46:$U$75,$W$46:$W$75,"一",$X$46:$X$75,"介添")+SUMIFS($H$89:$H$118,$J$89:$J$118,"一",$K$89:$K$118,"介添")+SUMIFS($H$132:$H$161,$J$132:$J$161,"一",$K$132:$K$161,"介添")+SUMIFS($H$175:$H$204,$J$175:$J$204,"一",$K$175:$K$204,"介添")+SUMIFS($H$218:$H$247,$J$218:$J$247,"一",$K$218:$K$247,"介添")+SUMIFS($U$89:$U$118,$W$89:$W$118,"一",$X$89:$X$118,"介添")+SUMIFS($U$132:$U$161,$W$132:$W$161,"一",$X$132:$X$161,"介添")+SUMIFS($U$175:$U$204,$W$175:$W$204,"一",$X$175:$X$204,"介添")+SUMIFS($U$218:$U$247,$W$218:$W$247,"一",$X$218:$X$247,"介添")</f>
        <v>0</v>
      </c>
      <c r="CA17" s="184">
        <f>SUMIFS($I$13:$I$22,$J$13:$J$22,"一",$K$13:$K$22,"介添")+SUMIFS($V$13:$V$22,$W$13:$W$22,"一",$X$13:$X$22,"介添")+SUMIFS($I$46:$I$75,$J$46:$J$75,"一",$K$46:$K$75,"介添")+SUMIFS($V$46:$V$75,$W$46:$W$75,"一",$X$46:$X$75,"介添")+SUMIFS($I$89:$I$118,$J$89:$J$118,"一",$K$89:$K$118,"介添")+SUMIFS($I$132:$I$161,$J$132:$J$161,"一",$K$132:$K$161,"介添")+SUMIFS($I$175:$I$204,$J$175:$J$204,"一",$K$175:$K$204,"介添")+SUMIFS($I$218:$I$247,$J$218:$J$247,"一",$K$218:$K$247,"介添")+SUMIFS($V$89:$V$118,$W$89:$W$118,"一",$X$89:$X$118,"介添")+SUMIFS($V$132:$V$161,$W$132:$W$161,"一",$X$132:$X$161,"介添")+SUMIFS($V$175:$V$204,$W$175:$W$204,"一",$X$175:$X$204,"介添")+SUMIFS($V$218:$V$247,$W$218:$W$247,"一",$X$218:$X$247,"介添")</f>
        <v>0</v>
      </c>
      <c r="CC17" s="302" t="str">
        <f t="shared" si="7"/>
        <v>小泊/準・特</v>
      </c>
      <c r="CD17" s="312">
        <f t="shared" si="8"/>
        <v>0</v>
      </c>
      <c r="CE17" s="754">
        <f>IF(OR(BT18="",BT18=0),0,110)</f>
        <v>0</v>
      </c>
      <c r="CF17" s="754">
        <v>330</v>
      </c>
      <c r="CG17" s="761">
        <v>110</v>
      </c>
      <c r="CH17" s="211">
        <v>15</v>
      </c>
      <c r="CI17" s="296" t="e">
        <f t="shared" si="0"/>
        <v>#REF!</v>
      </c>
      <c r="CJ17" s="296" t="e">
        <f t="shared" si="1"/>
        <v>#REF!</v>
      </c>
      <c r="CK17" s="292" t="e">
        <f t="shared" si="2"/>
        <v>#REF!</v>
      </c>
      <c r="CL17" s="56"/>
    </row>
    <row r="18" spans="1:90" ht="26.1" customHeight="1">
      <c r="A18" s="542">
        <v>6</v>
      </c>
      <c r="B18" s="1920"/>
      <c r="C18" s="1908"/>
      <c r="D18" s="1908"/>
      <c r="E18" s="1908"/>
      <c r="F18" s="1908"/>
      <c r="G18" s="1909"/>
      <c r="H18" s="543"/>
      <c r="I18" s="544"/>
      <c r="J18" s="545"/>
      <c r="K18" s="928"/>
      <c r="L18" s="928"/>
      <c r="M18" s="921"/>
      <c r="N18" s="546">
        <v>16</v>
      </c>
      <c r="O18" s="1920"/>
      <c r="P18" s="1908"/>
      <c r="Q18" s="1908"/>
      <c r="R18" s="1908"/>
      <c r="S18" s="1908"/>
      <c r="T18" s="1909"/>
      <c r="U18" s="543"/>
      <c r="V18" s="544"/>
      <c r="W18" s="545"/>
      <c r="X18" s="928"/>
      <c r="Y18" s="928"/>
      <c r="Z18" s="545"/>
      <c r="AA18" s="542">
        <v>6</v>
      </c>
      <c r="AB18" s="1920" t="s">
        <v>3123</v>
      </c>
      <c r="AC18" s="1908"/>
      <c r="AD18" s="1908"/>
      <c r="AE18" s="1908"/>
      <c r="AF18" s="1908"/>
      <c r="AG18" s="1909"/>
      <c r="AH18" s="543"/>
      <c r="AI18" s="544">
        <v>1</v>
      </c>
      <c r="AJ18" s="545" t="s">
        <v>548</v>
      </c>
      <c r="AK18" s="875"/>
      <c r="AL18" s="875"/>
      <c r="AM18" s="921"/>
      <c r="AN18" s="547">
        <v>16</v>
      </c>
      <c r="AO18" s="1920"/>
      <c r="AP18" s="1908"/>
      <c r="AQ18" s="1908"/>
      <c r="AR18" s="1908"/>
      <c r="AS18" s="1908"/>
      <c r="AT18" s="1909"/>
      <c r="AU18" s="543"/>
      <c r="AV18" s="544"/>
      <c r="AW18" s="545"/>
      <c r="AX18" s="875"/>
      <c r="AY18" s="875"/>
      <c r="AZ18" s="875"/>
      <c r="BA18" s="83">
        <v>6</v>
      </c>
      <c r="BB18" s="84">
        <f t="shared" si="9"/>
        <v>0</v>
      </c>
      <c r="BC18" s="85">
        <f t="shared" si="10"/>
        <v>0</v>
      </c>
      <c r="BD18" s="86">
        <f t="shared" si="11"/>
        <v>0</v>
      </c>
      <c r="BE18" s="86">
        <f t="shared" si="11"/>
        <v>0</v>
      </c>
      <c r="BF18" s="194" t="s">
        <v>523</v>
      </c>
      <c r="BG18" s="162">
        <f>COUNTIF($K$13:$M$22,"準・特")</f>
        <v>0</v>
      </c>
      <c r="BH18" s="163">
        <f>COUNTIF($X$13:$Z$22,"準・特")</f>
        <v>0</v>
      </c>
      <c r="BI18" s="162">
        <f>COUNTIF($K$46:$M$75,"準・特")</f>
        <v>0</v>
      </c>
      <c r="BJ18" s="162">
        <f>COUNTIF($X$46:$Z$75,"準・特")</f>
        <v>0</v>
      </c>
      <c r="BK18" s="162">
        <f>COUNTIF($K$89:$M$118,"準・特")</f>
        <v>0</v>
      </c>
      <c r="BL18" s="162">
        <f>COUNTIF($X$89:$Z$118,"準・特")</f>
        <v>0</v>
      </c>
      <c r="BM18" s="162">
        <f>COUNTIF($K$132:$M$161,"準・特")</f>
        <v>0</v>
      </c>
      <c r="BN18" s="162">
        <f>COUNTIF($X$132:$Z$161,"準・特")</f>
        <v>0</v>
      </c>
      <c r="BO18" s="162">
        <f>COUNTIF($K$175:$M$204,"準・特")</f>
        <v>0</v>
      </c>
      <c r="BP18" s="162">
        <f>COUNTIF($X$175:$Z$204,"準・特")</f>
        <v>0</v>
      </c>
      <c r="BQ18" s="162">
        <f>COUNTIF($K$218:$M$247,"準・特")</f>
        <v>0</v>
      </c>
      <c r="BR18" s="164">
        <f>COUNTIF($X$218:$Z$247,"準・特")</f>
        <v>0</v>
      </c>
      <c r="BS18" s="165">
        <f t="shared" si="12"/>
        <v>0</v>
      </c>
      <c r="BT18" s="166">
        <f>SUMIFS($H$13:$H$22,$J$13:$J$22,"小",$K$13:$K$22,"準・特")+SUMIFS($U$13:$U$22,$W$13:$W$22,"小",$X$13:$X$22,"準・特")+SUMIFS($H$46:$H$75,$J$46:$J$75,"小",$K$46:$K$75,"準・特")+SUMIFS($U$46:$U$75,$W$46:$W$75,"小",$X$46:$X$75,"準・特")+SUMIFS($H$89:$H$118,$J$89:$J$118,"小",$K$89:$K$118,"準・特")+SUMIFS($H$132:$H$161,$J$132:$J$161,"小",$K$132:$K$161,"準・特")+SUMIFS($H$175:$H$204,$J$175:$J$204,"小",$K$175:$K$204,"準・特")+SUMIFS($H$218:$H$247,$J$218:$J$247,"小",$K$218:$K$247,"準・特")+SUMIFS($U$89:$U$118,$W$89:$W$118,"小",$X$89:$X$118,"準・特")+SUMIFS($U$132:$U$161,$W$132:$W$161,"小",$X$132:$X$161,"準・特")+SUMIFS($U$175:$U$204,$W$175:$W$204,"小",$X$175:$X$204,"準・特")+SUMIFS($U$218:$U$247,$W$218:$W$247,"小",$X$218:$X$247,"準・特")</f>
        <v>0</v>
      </c>
      <c r="BU18" s="166">
        <f>SUMIFS($I$13:$I$22,$J$13:$J$22,"小",$K$13:$K$22,"準・特")+SUMIFS($V$13:$V$22,$W$13:$W$22,"小",$X$13:$X$22,"準・特")+SUMIFS($I$46:$I$75,$J$46:$J$75,"小",$K$46:$K$75,"準・特")+SUMIFS($V$46:$V$75,$W$46:$W$75,"小",$X$46:$X$75,"準・特")+SUMIFS($I$89:$I$118,$J$89:$J$118,"小",$K$89:$K$118,"準・特")+SUMIFS($I$132:$I$161,$J$132:$J$161,"小",$K$132:$K$161,"準・特")+SUMIFS($I$175:$I$204,$J$175:$J$204,"小",$K$175:$K$204,"準・特")+SUMIFS($I$218:$I$247,$J$218:$J$247,"小",$K$218:$K$247,"準・特")+SUMIFS($V$89:$V$118,$W$89:$W$118,"小",$X$89:$X$118,"準・特")+SUMIFS($V$132:$V$161,$W$132:$W$161,"小",$X$132:$X$161,"準・特")+SUMIFS($V$175:$V$204,$W$175:$W$204,"小",$X$175:$X$204,"準・特")+SUMIFS($V$218:$V$247,$W$218:$W$247,"小",$X$218:$X$247,"準・特")</f>
        <v>0</v>
      </c>
      <c r="BV18" s="166">
        <f>SUMIFS($H$13:$H$22,$J$13:$J$22,"中",$K$13:$K$22,"準・特")+SUMIFS($U$13:$U$22,$W$13:$W$22,"中",$X$13:$X$22,"準・特")+SUMIFS($H$46:$H$75,$J$46:$J$75,"中",$K$46:$K$75,"準・特")+SUMIFS($U$46:$U$75,$W$46:$W$75,"中",$X$46:$X$75,"準・特")+SUMIFS($H$89:$H$118,$J$89:$J$118,"中",$K$89:$K$118,"準・特")+SUMIFS($H$132:$H$161,$J$132:$J$161,"中",$K$132:$K$161,"準・特")+SUMIFS($H$175:$H$204,$J$175:$J$204,"中",$K$175:$K$204,"準・特")+SUMIFS($H$218:$H$247,$J$218:$J$247,"中",$K$218:$K$247,"準・特")+SUMIFS($U$89:$U$118,$W$89:$W$118,"中",$X$89:$X$118,"準・特")+SUMIFS($U$132:$U$161,$W$132:$W$161,"中",$X$132:$X$161,"準・特")+SUMIFS($U$175:$U$204,$W$175:$W$204,"中",$X$175:$X$204,"準・特")+SUMIFS($U$218:$U$247,$W$218:$W$247,"中",$X$218:$X$247,"準・特")</f>
        <v>0</v>
      </c>
      <c r="BW18" s="174">
        <f>SUMIFS($I$13:$I$22,$J$13:$J$22,"中",$K$13:$K$22,"準・特")+SUMIFS($V$13:$V$22,$W$13:$W$22,"中",$X$13:$X$22,"準・特")+SUMIFS($I$46:$I$75,$J$46:$J$75,"中",$K$46:$K$75,"準・特")+SUMIFS($V$46:$V$75,$W$46:$W$75,"中",$X$46:$X$75,"準・特")+SUMIFS($I$89:$I$118,$J$89:$J$118,"中",$K$89:$K$118,"準・特")+SUMIFS($I$132:$I$161,$J$132:$J$161,"中",$K$132:$K$161,"準・特")+SUMIFS($I$175:$I$204,$J$175:$J$204,"中",$K$175:$K$204,"準・特")+SUMIFS($I$218:$I$247,$J$218:$J$247,"中",$K$218:$K$247,"準・特")+SUMIFS($V$89:$V$118,$W$89:$W$118,"中",$X$89:$X$118,"準・特")+SUMIFS($V$132:$V$161,$W$132:$W$161,"中",$X$132:$X$161,"準・特")+SUMIFS($V$175:$V$204,$W$175:$W$204,"中",$X$175:$X$204,"準・特")+SUMIFS($V$218:$V$247,$W$218:$W$247,"中",$X$218:$X$247,"準・特")</f>
        <v>0</v>
      </c>
      <c r="BX18" s="189"/>
      <c r="BY18" s="189"/>
      <c r="BZ18" s="189"/>
      <c r="CA18" s="189"/>
      <c r="CC18" s="302" t="str">
        <f t="shared" si="7"/>
        <v>小泊/準・身</v>
      </c>
      <c r="CD18" s="312">
        <f t="shared" si="8"/>
        <v>0</v>
      </c>
      <c r="CE18" s="754">
        <f>IF(OR(BT19="",BT19=0),0,109)</f>
        <v>0</v>
      </c>
      <c r="CF18" s="754">
        <v>330</v>
      </c>
      <c r="CG18" s="761">
        <v>109</v>
      </c>
      <c r="CI18" s="753"/>
    </row>
    <row r="19" spans="1:90" ht="26.1" customHeight="1">
      <c r="A19" s="542">
        <v>7</v>
      </c>
      <c r="B19" s="1920"/>
      <c r="C19" s="1908"/>
      <c r="D19" s="1908"/>
      <c r="E19" s="1908"/>
      <c r="F19" s="1908"/>
      <c r="G19" s="1909"/>
      <c r="H19" s="543"/>
      <c r="I19" s="544"/>
      <c r="J19" s="545"/>
      <c r="K19" s="928"/>
      <c r="L19" s="928"/>
      <c r="M19" s="921"/>
      <c r="N19" s="546">
        <v>17</v>
      </c>
      <c r="O19" s="1920"/>
      <c r="P19" s="1908"/>
      <c r="Q19" s="1908"/>
      <c r="R19" s="1908"/>
      <c r="S19" s="1908"/>
      <c r="T19" s="1909"/>
      <c r="U19" s="543"/>
      <c r="V19" s="544"/>
      <c r="W19" s="545"/>
      <c r="X19" s="928"/>
      <c r="Y19" s="928"/>
      <c r="Z19" s="545"/>
      <c r="AA19" s="542">
        <v>7</v>
      </c>
      <c r="AB19" s="1920" t="s">
        <v>3124</v>
      </c>
      <c r="AC19" s="1908"/>
      <c r="AD19" s="1908"/>
      <c r="AE19" s="1908"/>
      <c r="AF19" s="1908"/>
      <c r="AG19" s="1909"/>
      <c r="AH19" s="543">
        <v>1</v>
      </c>
      <c r="AI19" s="544"/>
      <c r="AJ19" s="545" t="s">
        <v>548</v>
      </c>
      <c r="AK19" s="875"/>
      <c r="AL19" s="875"/>
      <c r="AM19" s="921"/>
      <c r="AN19" s="547">
        <v>17</v>
      </c>
      <c r="AO19" s="1920"/>
      <c r="AP19" s="1908"/>
      <c r="AQ19" s="1908"/>
      <c r="AR19" s="1908"/>
      <c r="AS19" s="1908"/>
      <c r="AT19" s="1909"/>
      <c r="AU19" s="543"/>
      <c r="AV19" s="544"/>
      <c r="AW19" s="545"/>
      <c r="AX19" s="875"/>
      <c r="AY19" s="875"/>
      <c r="AZ19" s="875"/>
      <c r="BA19" s="83">
        <v>7</v>
      </c>
      <c r="BB19" s="84">
        <f t="shared" si="9"/>
        <v>0</v>
      </c>
      <c r="BC19" s="85">
        <f t="shared" si="10"/>
        <v>0</v>
      </c>
      <c r="BD19" s="86">
        <f t="shared" si="11"/>
        <v>0</v>
      </c>
      <c r="BE19" s="86">
        <f t="shared" si="11"/>
        <v>0</v>
      </c>
      <c r="BF19" s="193" t="s">
        <v>524</v>
      </c>
      <c r="BG19" s="147">
        <f>COUNTIF($K$13:$M$22,"準・身")</f>
        <v>0</v>
      </c>
      <c r="BH19" s="146">
        <f>COUNTIF($X$13:$Z$22,"準・身")</f>
        <v>0</v>
      </c>
      <c r="BI19" s="147">
        <f>COUNTIF($K$46:$M$75,"準・身")</f>
        <v>0</v>
      </c>
      <c r="BJ19" s="147">
        <f>COUNTIF($X$46:$Z$75,"準・身")</f>
        <v>0</v>
      </c>
      <c r="BK19" s="147">
        <f>COUNTIF($K$89:$M$118,"準・身")</f>
        <v>0</v>
      </c>
      <c r="BL19" s="147">
        <f>COUNTIF($X$89:$Z$118,"準・身")</f>
        <v>0</v>
      </c>
      <c r="BM19" s="147">
        <f>COUNTIF($K$132:$M$161,"準・身")</f>
        <v>0</v>
      </c>
      <c r="BN19" s="147">
        <f>COUNTIF($X$132:$Z$161,"準・身")</f>
        <v>0</v>
      </c>
      <c r="BO19" s="147">
        <f>COUNTIF($K$175:$M$204,"準・身")</f>
        <v>0</v>
      </c>
      <c r="BP19" s="147">
        <f>COUNTIF($X$175:$Z$204,"準・身")</f>
        <v>0</v>
      </c>
      <c r="BQ19" s="147">
        <f>COUNTIF($K$218:$M$247,"準・身")</f>
        <v>0</v>
      </c>
      <c r="BR19" s="148">
        <f>COUNTIF($X$218:$Z$247,"準・身")</f>
        <v>0</v>
      </c>
      <c r="BS19" s="149">
        <f t="shared" si="12"/>
        <v>0</v>
      </c>
      <c r="BT19" s="167">
        <f>SUMIFS($H$13:$H$22,$J$13:$J$22,"小",$K$13:$K$22,"準・身")+SUMIFS($U$13:$U$22,$W$13:$W$22,"小",$X$13:$X$22,"準・身")+SUMIFS($H$46:$H$75,$J$46:$J$75,"小",$K$46:$K$75,"準・身")+SUMIFS($U$46:$U$75,$W$46:$W$75,"小",$X$46:$X$75,"準・身")+SUMIFS($H$89:$H$118,$J$89:$J$118,"小",$K$89:$K$118,"準・身")+SUMIFS($H$132:$H$161,$J$132:$J$161,"小",$K$132:$K$161,"準・身")+SUMIFS($H$175:$H$204,$J$175:$J$204,"小",$K$175:$K$204,"準・身")+SUMIFS($H$218:$H$247,$J$218:$J$247,"小",$K$218:$K$247,"準・身")+SUMIFS($U$89:$U$118,$W$89:$W$118,"小",$X$89:$X$118,"準・身")+SUMIFS($U$132:$U$161,$W$132:$W$161,"小",$X$132:$X$161,"準・身")+SUMIFS($U$175:$U$204,$W$175:$W$204,"小",$X$175:$X$204,"準・身")+SUMIFS($U$218:$U$247,$W$218:$W$247,"小",$X$218:$X$247,"準・身")</f>
        <v>0</v>
      </c>
      <c r="BU19" s="167">
        <f>SUMIFS($I$13:$I$22,$J$13:$J$22,"小",$K$13:$K$22,"準・身")+SUMIFS($V$13:$V$22,$W$13:$W$22,"小",$X$13:$X$22,"準・身")+SUMIFS($I$46:$I$75,$J$46:$J$75,"小",$K$46:$K$75,"準・身")+SUMIFS($V$46:$V$75,$W$46:$W$75,"小",$X$46:$X$75,"準・身")+SUMIFS($I$89:$I$118,$J$89:$J$118,"小",$K$89:$K$118,"準・身")+SUMIFS($I$132:$I$161,$J$132:$J$161,"小",$K$132:$K$161,"準・身")+SUMIFS($I$175:$I$204,$J$175:$J$204,"小",$K$175:$K$204,"準・身")+SUMIFS($I$218:$I$247,$J$218:$J$247,"小",$K$218:$K$247,"準・身")+SUMIFS($V$89:$V$118,$W$89:$W$118,"小",$X$89:$X$118,"準・身")+SUMIFS($V$132:$V$161,$W$132:$W$161,"小",$X$132:$X$161,"準・身")+SUMIFS($V$175:$V$204,$W$175:$W$204,"小",$X$175:$X$204,"準・身")+SUMIFS($V$218:$V$247,$W$218:$W$247,"小",$X$218:$X$247,"準・身")</f>
        <v>0</v>
      </c>
      <c r="BV19" s="167">
        <f>SUMIFS($H$13:$H$22,$J$13:$J$22,"中",$K$13:$K$22,"準・身")+SUMIFS($U$13:$U$22,$W$13:$W$22,"中",$X$13:$X$22,"準・身")+SUMIFS($H$46:$H$75,$J$46:$J$75,"中",$K$46:$K$75,"準・身")+SUMIFS($U$46:$U$75,$W$46:$W$75,"中",$X$46:$X$75,"準・身")+SUMIFS($H$89:$H$118,$J$89:$J$118,"中",$K$89:$K$118,"準・身")+SUMIFS($H$132:$H$161,$J$132:$J$161,"中",$K$132:$K$161,"準・身")+SUMIFS($H$175:$H$204,$J$175:$J$204,"中",$K$175:$K$204,"準・身")+SUMIFS($H$218:$H$247,$J$218:$J$247,"中",$K$218:$K$247,"準・身")+SUMIFS($U$89:$U$118,$W$89:$W$118,"中",$X$89:$X$118,"準・身")+SUMIFS($U$132:$U$161,$W$132:$W$161,"中",$X$132:$X$161,"準・身")+SUMIFS($U$175:$U$204,$W$175:$W$204,"中",$X$175:$X$204,"準・身")+SUMIFS($U$218:$U$247,$W$218:$W$247,"中",$X$218:$X$247,"準・身")</f>
        <v>0</v>
      </c>
      <c r="BW19" s="175">
        <f>SUMIFS($I$13:$I$22,$J$13:$J$22,"中",$K$13:$K$22,"準・身")+SUMIFS($V$13:$V$22,$W$13:$W$22,"中",$X$13:$X$22,"準・身")+SUMIFS($I$46:$I$75,$J$46:$J$75,"中",$K$46:$K$75,"準・身")+SUMIFS($V$46:$V$75,$W$46:$W$75,"中",$X$46:$X$75,"準・身")+SUMIFS($I$89:$I$118,$J$89:$J$118,"中",$K$89:$K$118,"準・身")+SUMIFS($I$132:$I$161,$J$132:$J$161,"中",$K$132:$K$161,"準・身")+SUMIFS($I$175:$I$204,$J$175:$J$204,"中",$K$175:$K$204,"準・身")+SUMIFS($I$218:$I$247,$J$218:$J$247,"中",$K$218:$K$247,"準・身")+SUMIFS($V$89:$V$118,$W$89:$W$118,"中",$X$89:$X$118,"準・身")+SUMIFS($V$132:$V$161,$W$132:$W$161,"中",$X$132:$X$161,"準・身")+SUMIFS($V$175:$V$204,$W$175:$W$204,"中",$X$175:$X$204,"準・身")+SUMIFS($V$218:$V$247,$W$218:$W$247,"中",$X$218:$X$247,"準・身")</f>
        <v>0</v>
      </c>
      <c r="BX19" s="180"/>
      <c r="BY19" s="180"/>
      <c r="BZ19" s="180"/>
      <c r="CA19" s="180"/>
      <c r="CC19" s="302" t="str">
        <f t="shared" si="7"/>
        <v>小泊/準・療</v>
      </c>
      <c r="CD19" s="312">
        <f t="shared" si="8"/>
        <v>0</v>
      </c>
      <c r="CE19" s="754">
        <f>IF(OR(BT20="",BT20=0),0,108)</f>
        <v>0</v>
      </c>
      <c r="CF19" s="754">
        <v>330</v>
      </c>
      <c r="CG19" s="761">
        <v>108</v>
      </c>
    </row>
    <row r="20" spans="1:90" ht="26.1" customHeight="1">
      <c r="A20" s="542">
        <v>8</v>
      </c>
      <c r="B20" s="1920"/>
      <c r="C20" s="1908"/>
      <c r="D20" s="1908"/>
      <c r="E20" s="1908"/>
      <c r="F20" s="1908"/>
      <c r="G20" s="1909"/>
      <c r="H20" s="543"/>
      <c r="I20" s="544"/>
      <c r="J20" s="545"/>
      <c r="K20" s="928"/>
      <c r="L20" s="928"/>
      <c r="M20" s="921"/>
      <c r="N20" s="546">
        <v>18</v>
      </c>
      <c r="O20" s="1920"/>
      <c r="P20" s="1908"/>
      <c r="Q20" s="1908"/>
      <c r="R20" s="1908"/>
      <c r="S20" s="1908"/>
      <c r="T20" s="1909"/>
      <c r="U20" s="543"/>
      <c r="V20" s="544"/>
      <c r="W20" s="545"/>
      <c r="X20" s="928"/>
      <c r="Y20" s="928"/>
      <c r="Z20" s="545"/>
      <c r="AA20" s="542">
        <v>8</v>
      </c>
      <c r="AB20" s="1920" t="s">
        <v>3125</v>
      </c>
      <c r="AC20" s="1908"/>
      <c r="AD20" s="1908"/>
      <c r="AE20" s="1908"/>
      <c r="AF20" s="1908"/>
      <c r="AG20" s="1909"/>
      <c r="AH20" s="543">
        <v>1</v>
      </c>
      <c r="AI20" s="544"/>
      <c r="AJ20" s="545" t="s">
        <v>547</v>
      </c>
      <c r="AK20" s="875"/>
      <c r="AL20" s="875"/>
      <c r="AM20" s="921"/>
      <c r="AN20" s="547">
        <v>18</v>
      </c>
      <c r="AO20" s="1920"/>
      <c r="AP20" s="1908"/>
      <c r="AQ20" s="1908"/>
      <c r="AR20" s="1908"/>
      <c r="AS20" s="1908"/>
      <c r="AT20" s="1909"/>
      <c r="AU20" s="543"/>
      <c r="AV20" s="544"/>
      <c r="AW20" s="545"/>
      <c r="AX20" s="875"/>
      <c r="AY20" s="875"/>
      <c r="AZ20" s="875"/>
      <c r="BA20" s="83">
        <v>8</v>
      </c>
      <c r="BB20" s="84">
        <f t="shared" si="9"/>
        <v>0</v>
      </c>
      <c r="BC20" s="85">
        <f t="shared" si="10"/>
        <v>0</v>
      </c>
      <c r="BD20" s="86">
        <f t="shared" si="11"/>
        <v>0</v>
      </c>
      <c r="BE20" s="86">
        <f t="shared" si="11"/>
        <v>0</v>
      </c>
      <c r="BF20" s="193" t="s">
        <v>525</v>
      </c>
      <c r="BG20" s="147">
        <f>COUNTIF($K$13:$M$22,"準・療")</f>
        <v>0</v>
      </c>
      <c r="BH20" s="146">
        <f>COUNTIF($X$13:$Z$22,"準・療")</f>
        <v>0</v>
      </c>
      <c r="BI20" s="147">
        <f>COUNTIF($K$46:$M$75,"準・療")</f>
        <v>0</v>
      </c>
      <c r="BJ20" s="147">
        <f>COUNTIF($X$46:$Z$75,"準・療")</f>
        <v>0</v>
      </c>
      <c r="BK20" s="147">
        <f>COUNTIF($K$89:$M$118,"準・療")</f>
        <v>0</v>
      </c>
      <c r="BL20" s="147">
        <f>COUNTIF($X$89:$Z$118,"準・療")</f>
        <v>0</v>
      </c>
      <c r="BM20" s="147">
        <f>COUNTIF($K$132:$M$161,"準・療")</f>
        <v>0</v>
      </c>
      <c r="BN20" s="147">
        <f>COUNTIF($X$132:$Z$161,"準・療")</f>
        <v>0</v>
      </c>
      <c r="BO20" s="147">
        <f>COUNTIF($K$175:$M$204,"準・療")</f>
        <v>0</v>
      </c>
      <c r="BP20" s="147">
        <f>COUNTIF($X$175:$Z$204,"準・療")</f>
        <v>0</v>
      </c>
      <c r="BQ20" s="147">
        <f>COUNTIF($K$218:$M$247,"準・療")</f>
        <v>0</v>
      </c>
      <c r="BR20" s="148">
        <f>COUNTIF($X$218:$Z$247,"準・療")</f>
        <v>0</v>
      </c>
      <c r="BS20" s="149">
        <f t="shared" si="12"/>
        <v>0</v>
      </c>
      <c r="BT20" s="167">
        <f>SUMIFS($H$13:$H$22,$J$13:$J$22,"小",$K$13:$K$22,"準・療")+SUMIFS($U$13:$U$22,$W$13:$W$22,"小",$X$13:$X$22,"準・療")+SUMIFS($H$46:$H$75,$J$46:$J$75,"小",$K$46:$K$75,"準・療")+SUMIFS($U$46:$U$75,$W$46:$W$75,"小",$X$46:$X$75,"準・療")+SUMIFS($H$89:$H$118,$J$89:$J$118,"小",$K$89:$K$118,"準・療")+SUMIFS($H$132:$H$161,$J$132:$J$161,"小",$K$132:$K$161,"準・療")+SUMIFS($H$175:$H$204,$J$175:$J$204,"小",$K$175:$K$204,"準・療")+SUMIFS($H$218:$H$247,$J$218:$J$247,"小",$K$218:$K$247,"準・療")+SUMIFS($U$89:$U$118,$W$89:$W$118,"小",$X$89:$X$118,"準・療")+SUMIFS($U$132:$U$161,$W$132:$W$161,"小",$X$132:$X$161,"準・療")+SUMIFS($U$175:$U$204,$W$175:$W$204,"小",$X$175:$X$204,"準・療")+SUMIFS($U$218:$U$247,$W$218:$W$247,"小",$X$218:$X$247,"準・療")</f>
        <v>0</v>
      </c>
      <c r="BU20" s="167">
        <f>SUMIFS($I$13:$I$22,$J$13:$J$22,"小",$K$13:$K$22,"準・身")+SUMIFS($V$13:$V$22,$W$13:$W$22,"小",$X$13:$X$22,"準・身")+SUMIFS($I$46:$I$75,$J$46:$J$75,"小",$K$46:$K$75,"準・身")+SUMIFS($V$46:$V$75,$W$46:$W$75,"小",$X$46:$X$75,"準・療")+SUMIFS($I$89:$I$118,$J$89:$J$118,"小",$K$89:$K$118,"準・療")+SUMIFS($I$132:$I$161,$J$132:$J$161,"小",$K$132:$K$161,"準・療")+SUMIFS($I$175:$I$204,$J$175:$J$204,"小",$K$175:$K$204,"準・療")+SUMIFS($I$218:$I$247,$J$218:$J$247,"小",$K$218:$K$247,"準・療")+SUMIFS($V$89:$V$118,$W$89:$W$118,"小",$X$89:$X$118,"準・療")+SUMIFS($V$132:$V$161,$W$132:$W$161,"小",$X$132:$X$161,"準・療")+SUMIFS($V$175:$V$204,$W$175:$W$204,"小",$X$175:$X$204,"準・療")+SUMIFS($V$218:$V$247,$W$218:$W$247,"小",$X$218:$X$247,"準・療")</f>
        <v>0</v>
      </c>
      <c r="BV20" s="167">
        <f>SUMIFS($H$13:$H$22,$J$13:$J$22,"中",$K$13:$K$22,"準・身")+SUMIFS($U$13:$U$22,$W$13:$W$22,"中",$X$13:$X$22,"準・身")+SUMIFS($H$46:$H$75,$J$46:$J$75,"中",$K$46:$K$75,"準・身")+SUMIFS($U$46:$U$75,$W$46:$W$75,"中",$X$46:$X$75,"準・療")+SUMIFS($H$89:$H$118,$J$89:$J$118,"中",$K$89:$K$118,"準・療")+SUMIFS($H$132:$H$161,$J$132:$J$161,"中",$K$132:$K$161,"準・療")+SUMIFS($H$175:$H$204,$J$175:$J$204,"中",$K$175:$K$204,"準・療")+SUMIFS($H$218:$H$247,$J$218:$J$247,"中",$K$218:$K$247,"準・療")+SUMIFS($U$89:$U$118,$W$89:$W$118,"中",$X$89:$X$118,"準・療")+SUMIFS($U$132:$U$161,$W$132:$W$161,"中",$X$132:$X$161,"準・療")+SUMIFS($U$175:$U$204,$W$175:$W$204,"中",$X$175:$X$204,"準・療")+SUMIFS($U$218:$U$247,$W$218:$W$247,"中",$X$218:$X$247,"準・療")</f>
        <v>0</v>
      </c>
      <c r="BW20" s="175">
        <f>SUMIFS($I$13:$I$22,$J$13:$J$22,"中",$K$13:$K$22,"準・身")+SUMIFS($V$13:$V$22,$W$13:$W$22,"中",$X$13:$X$22,"準・身")+SUMIFS($I$46:$I$75,$J$46:$J$75,"中",$K$46:$K$75,"準・身")+SUMIFS($V$46:$V$75,$W$46:$W$75,"中",$X$46:$X$75,"準・療")+SUMIFS($I$89:$I$118,$J$89:$J$118,"中",$K$89:$K$118,"準・療")+SUMIFS($I$132:$I$161,$J$132:$J$161,"中",$K$132:$K$161,"準・療")+SUMIFS($I$175:$I$204,$J$175:$J$204,"中",$K$175:$K$204,"準・療")+SUMIFS($I$218:$I$247,$J$218:$J$247,"中",$K$218:$K$247,"準・療")+SUMIFS($V$89:$V$118,$W$89:$W$118,"中",$X$89:$X$118,"準・療")+SUMIFS($V$132:$V$161,$W$132:$W$161,"中",$X$132:$X$161,"準・療")+SUMIFS($V$175:$V$204,$W$175:$W$204,"中",$X$175:$X$204,"準・療")+SUMIFS($V$218:$V$247,$W$218:$W$247,"中",$X$218:$X$247,"準・療")</f>
        <v>0</v>
      </c>
      <c r="BX20" s="180"/>
      <c r="BY20" s="180"/>
      <c r="BZ20" s="180"/>
      <c r="CA20" s="180"/>
      <c r="CC20" s="302" t="str">
        <f t="shared" si="7"/>
        <v>小泊/準・精</v>
      </c>
      <c r="CD20" s="312">
        <f t="shared" si="8"/>
        <v>0</v>
      </c>
      <c r="CE20" s="754">
        <f>IF(OR(BT21="",BT21=0),0,107)</f>
        <v>0</v>
      </c>
      <c r="CF20" s="754">
        <v>330</v>
      </c>
      <c r="CG20" s="761">
        <v>107</v>
      </c>
    </row>
    <row r="21" spans="1:90" ht="26.1" customHeight="1">
      <c r="A21" s="542">
        <v>9</v>
      </c>
      <c r="B21" s="1920"/>
      <c r="C21" s="1908"/>
      <c r="D21" s="1908"/>
      <c r="E21" s="1908"/>
      <c r="F21" s="1908"/>
      <c r="G21" s="1909"/>
      <c r="H21" s="543"/>
      <c r="I21" s="544"/>
      <c r="J21" s="545"/>
      <c r="K21" s="928"/>
      <c r="L21" s="928"/>
      <c r="M21" s="921"/>
      <c r="N21" s="546">
        <v>19</v>
      </c>
      <c r="O21" s="1920"/>
      <c r="P21" s="1908"/>
      <c r="Q21" s="1908"/>
      <c r="R21" s="1908"/>
      <c r="S21" s="1908"/>
      <c r="T21" s="1909"/>
      <c r="U21" s="543"/>
      <c r="V21" s="544"/>
      <c r="W21" s="545"/>
      <c r="X21" s="928"/>
      <c r="Y21" s="928"/>
      <c r="Z21" s="545"/>
      <c r="AA21" s="542">
        <v>9</v>
      </c>
      <c r="AB21" s="1920" t="s">
        <v>3057</v>
      </c>
      <c r="AC21" s="1908"/>
      <c r="AD21" s="1908"/>
      <c r="AE21" s="1908"/>
      <c r="AF21" s="1908"/>
      <c r="AG21" s="1909"/>
      <c r="AH21" s="543">
        <v>1</v>
      </c>
      <c r="AI21" s="544"/>
      <c r="AJ21" s="545" t="s">
        <v>547</v>
      </c>
      <c r="AK21" s="875"/>
      <c r="AL21" s="875"/>
      <c r="AM21" s="921"/>
      <c r="AN21" s="547">
        <v>19</v>
      </c>
      <c r="AO21" s="1920"/>
      <c r="AP21" s="1908"/>
      <c r="AQ21" s="1908"/>
      <c r="AR21" s="1908"/>
      <c r="AS21" s="1908"/>
      <c r="AT21" s="1909"/>
      <c r="AU21" s="543"/>
      <c r="AV21" s="544"/>
      <c r="AW21" s="545"/>
      <c r="AX21" s="875"/>
      <c r="AY21" s="875"/>
      <c r="AZ21" s="875"/>
      <c r="BA21" s="83">
        <v>9</v>
      </c>
      <c r="BB21" s="84">
        <f t="shared" si="9"/>
        <v>0</v>
      </c>
      <c r="BC21" s="85">
        <f t="shared" si="10"/>
        <v>0</v>
      </c>
      <c r="BD21" s="86">
        <f t="shared" si="11"/>
        <v>0</v>
      </c>
      <c r="BE21" s="87">
        <f t="shared" si="11"/>
        <v>0</v>
      </c>
      <c r="BF21" s="193" t="s">
        <v>526</v>
      </c>
      <c r="BG21" s="147">
        <f>COUNTIF($K$13:$M$22,"準・精")</f>
        <v>0</v>
      </c>
      <c r="BH21" s="146">
        <f>COUNTIF($X$13:$Z$22,"準・精")</f>
        <v>0</v>
      </c>
      <c r="BI21" s="147">
        <f>COUNTIF($K$46:$M$75,"準・精")</f>
        <v>0</v>
      </c>
      <c r="BJ21" s="147">
        <f>COUNTIF($X$46:$Z$75,"準・精")</f>
        <v>0</v>
      </c>
      <c r="BK21" s="147">
        <f>COUNTIF($K$89:$M$118,"準・精")</f>
        <v>0</v>
      </c>
      <c r="BL21" s="147">
        <f>COUNTIF($X$89:$Z$118,"準・精")</f>
        <v>0</v>
      </c>
      <c r="BM21" s="147">
        <f>COUNTIF($K$132:$M$161,"準・精")</f>
        <v>0</v>
      </c>
      <c r="BN21" s="147">
        <f>COUNTIF($X$132:$Z$161,"準・精")</f>
        <v>0</v>
      </c>
      <c r="BO21" s="147">
        <f>COUNTIF($K$175:$M$204,"準・精")</f>
        <v>0</v>
      </c>
      <c r="BP21" s="147">
        <f>COUNTIF($X$175:$Z$204,"準・精")</f>
        <v>0</v>
      </c>
      <c r="BQ21" s="147">
        <f>COUNTIF($K$218:$M$247,"準・精")</f>
        <v>0</v>
      </c>
      <c r="BR21" s="148">
        <f>COUNTIF($X$218:$Z$247,"準・精")</f>
        <v>0</v>
      </c>
      <c r="BS21" s="149">
        <f t="shared" si="12"/>
        <v>0</v>
      </c>
      <c r="BT21" s="167">
        <f>SUMIFS($H$13:$H$22,$J$13:$J$22,"小",$K$13:$K$22,"準・精")+SUMIFS($U$13:$U$22,$W$13:$W$22,"小",$X$13:$X$22,"準・精")+SUMIFS($H$46:$H$75,$J$46:$J$75,"小",$K$46:$K$75,"準・精")+SUMIFS($U$46:$U$75,$W$46:$W$75,"小",$X$46:$X$75,"準・精")+SUMIFS($H$89:$H$118,$J$89:$J$118,"小",$K$89:$K$118,"準・精")+SUMIFS($H$132:$H$161,$J$132:$J$161,"小",$K$132:$K$161,"準・精")+SUMIFS($H$175:$H$204,$J$175:$J$204,"小",$K$175:$K$204,"準・精")+SUMIFS($H$218:$H$247,$J$218:$J$247,"小",$K$218:$K$247,"準・精")+SUMIFS($U$89:$U$118,$W$89:$W$118,"小",$X$89:$X$118,"準・精")+SUMIFS($U$132:$U$161,$W$132:$W$161,"小",$X$132:$X$161,"準・精")+SUMIFS($U$175:$U$204,$W$175:$W$204,"小",$X$175:$X$204,"準・精")+SUMIFS($U$218:$U$247,$W$218:$W$247,"小",$X$218:$X$247,"準・精")</f>
        <v>0</v>
      </c>
      <c r="BU21" s="167">
        <f>SUMIFS($I$13:$I$22,$J$13:$J$22,"小",$K$13:$K$22,"準・精")+SUMIFS($V$13:$V$22,$W$13:$W$22,"小",$X$13:$X$22,"準・精")+SUMIFS($I$46:$I$75,$J$46:$J$75,"小",$K$46:$K$75,"準・精")+SUMIFS($V$46:$V$75,$W$46:$W$75,"小",$X$46:$X$75,"準・精")+SUMIFS($I$89:$I$118,$J$89:$J$118,"小",$K$89:$K$118,"準・精")+SUMIFS($I$132:$I$161,$J$132:$J$161,"小",$K$132:$K$161,"準・精")+SUMIFS($I$175:$I$204,$J$175:$J$204,"小",$K$175:$K$204,"準・精")+SUMIFS($I$218:$I$247,$J$218:$J$247,"小",$K$218:$K$247,"準・精")+SUMIFS($V$89:$V$118,$W$89:$W$118,"小",$X$89:$X$118,"準・精")+SUMIFS($V$132:$V$161,$W$132:$W$161,"小",$X$132:$X$161,"準・精")+SUMIFS($V$175:$V$204,$W$175:$W$204,"小",$X$175:$X$204,"準・精")+SUMIFS($V$218:$V$247,$W$218:$W$247,"小",$X$218:$X$247,"準・精")</f>
        <v>0</v>
      </c>
      <c r="BV21" s="167">
        <f>SUMIFS($H$13:$H$22,$J$13:$J$22,"中",$K$13:$K$22,"準・精")+SUMIFS($U$13:$U$22,$W$13:$W$22,"中",$X$13:$X$22,"準・精")+SUMIFS($H$46:$H$75,$J$46:$J$75,"中",$K$46:$K$75,"準・精")+SUMIFS($U$46:$U$75,$W$46:$W$75,"中",$X$46:$X$75,"準・精")+SUMIFS($H$89:$H$118,$J$89:$J$118,"中",$K$89:$K$118,"準・精")+SUMIFS($H$132:$H$161,$J$132:$J$161,"中",$K$132:$K$161,"準・精")+SUMIFS($H$175:$H$204,$J$175:$J$204,"中",$K$175:$K$204,"準・精")+SUMIFS($H$218:$H$247,$J$218:$J$247,"中",$K$218:$K$247,"準・精")+SUMIFS($U$89:$U$118,$W$89:$W$118,"中",$X$89:$X$118,"準・精")+SUMIFS($U$132:$U$161,$W$132:$W$161,"中",$X$132:$X$161,"準・精")+SUMIFS($U$175:$U$204,$W$175:$W$204,"中",$X$175:$X$204,"準・精")+SUMIFS($U$218:$U$247,$W$218:$W$247,"中",$X$218:$X$247,"準・精")</f>
        <v>0</v>
      </c>
      <c r="BW21" s="175">
        <f>SUMIFS($I$13:$I$22,$J$13:$J$22,"中",$K$13:$K$22,"準・精")+SUMIFS($V$13:$V$22,$W$13:$W$22,"中",$X$13:$X$22,"準・精")+SUMIFS($I$46:$I$75,$J$46:$J$75,"中",$K$46:$K$75,"準・精")+SUMIFS($V$46:$V$75,$W$46:$W$75,"中",$X$46:$X$75,"準・精")+SUMIFS($I$89:$I$118,$J$89:$J$118,"中",$K$89:$K$118,"準・精")+SUMIFS($I$132:$I$161,$J$132:$J$161,"中",$K$132:$K$161,"準・精")+SUMIFS($I$175:$I$204,$J$175:$J$204,"中",$K$175:$K$204,"準・精")+SUMIFS($I$218:$I$247,$J$218:$J$247,"中",$K$218:$K$247,"準・精")+SUMIFS($V$89:$V$118,$W$89:$W$118,"中",$X$89:$X$118,"準・精")+SUMIFS($V$132:$V$161,$W$132:$W$161,"中",$X$132:$X$161,"準・精")+SUMIFS($V$175:$V$204,$W$175:$W$204,"中",$X$175:$X$204,"準・精")+SUMIFS($V$218:$V$247,$W$218:$W$247,"中",$X$218:$X$247,"準・精")</f>
        <v>0</v>
      </c>
      <c r="BX21" s="180"/>
      <c r="BY21" s="180"/>
      <c r="BZ21" s="180"/>
      <c r="CA21" s="180"/>
      <c r="CC21" s="302" t="str">
        <f t="shared" si="7"/>
        <v>小泊/特・身</v>
      </c>
      <c r="CD21" s="312">
        <f t="shared" si="8"/>
        <v>0</v>
      </c>
      <c r="CE21" s="754">
        <f>IF(OR(BT22="",BT22=0),0,106)</f>
        <v>0</v>
      </c>
      <c r="CF21" s="754">
        <v>330</v>
      </c>
      <c r="CG21" s="761">
        <v>106</v>
      </c>
    </row>
    <row r="22" spans="1:90" ht="26.1" customHeight="1">
      <c r="A22" s="542">
        <v>10</v>
      </c>
      <c r="B22" s="1920"/>
      <c r="C22" s="1908"/>
      <c r="D22" s="1908"/>
      <c r="E22" s="1908"/>
      <c r="F22" s="1908"/>
      <c r="G22" s="1909"/>
      <c r="H22" s="543"/>
      <c r="I22" s="544"/>
      <c r="J22" s="545"/>
      <c r="K22" s="928"/>
      <c r="L22" s="928"/>
      <c r="M22" s="921"/>
      <c r="N22" s="546">
        <v>20</v>
      </c>
      <c r="O22" s="1920"/>
      <c r="P22" s="1908"/>
      <c r="Q22" s="1908"/>
      <c r="R22" s="1908"/>
      <c r="S22" s="1908"/>
      <c r="T22" s="1909"/>
      <c r="U22" s="543"/>
      <c r="V22" s="544"/>
      <c r="W22" s="545"/>
      <c r="X22" s="928"/>
      <c r="Y22" s="928"/>
      <c r="Z22" s="545"/>
      <c r="AA22" s="542">
        <v>10</v>
      </c>
      <c r="AB22" s="1920" t="s">
        <v>3058</v>
      </c>
      <c r="AC22" s="1908"/>
      <c r="AD22" s="1908"/>
      <c r="AE22" s="1908"/>
      <c r="AF22" s="1908"/>
      <c r="AG22" s="1909"/>
      <c r="AH22" s="543">
        <v>1</v>
      </c>
      <c r="AI22" s="544"/>
      <c r="AJ22" s="545" t="s">
        <v>547</v>
      </c>
      <c r="AK22" s="875" t="s">
        <v>3008</v>
      </c>
      <c r="AL22" s="875" t="s">
        <v>3010</v>
      </c>
      <c r="AM22" s="921"/>
      <c r="AN22" s="547">
        <v>20</v>
      </c>
      <c r="AO22" s="1920"/>
      <c r="AP22" s="1908"/>
      <c r="AQ22" s="1908"/>
      <c r="AR22" s="1908"/>
      <c r="AS22" s="1908"/>
      <c r="AT22" s="1909"/>
      <c r="AU22" s="543"/>
      <c r="AV22" s="544"/>
      <c r="AW22" s="545"/>
      <c r="AX22" s="875"/>
      <c r="AY22" s="875"/>
      <c r="AZ22" s="875"/>
      <c r="BA22" s="83">
        <v>10</v>
      </c>
      <c r="BB22" s="84">
        <f t="shared" si="9"/>
        <v>0</v>
      </c>
      <c r="BC22" s="85">
        <f t="shared" si="10"/>
        <v>0</v>
      </c>
      <c r="BD22" s="86">
        <f t="shared" si="11"/>
        <v>0</v>
      </c>
      <c r="BE22" s="87">
        <f t="shared" si="11"/>
        <v>0</v>
      </c>
      <c r="BF22" s="193" t="s">
        <v>527</v>
      </c>
      <c r="BG22" s="147">
        <f>COUNTIF($K$13:$M$22,"特・身")</f>
        <v>0</v>
      </c>
      <c r="BH22" s="146">
        <f>COUNTIF($X$13:$Z$22,"準・身")</f>
        <v>0</v>
      </c>
      <c r="BI22" s="147">
        <f>COUNTIF($K$46:$M$75,"準・身")</f>
        <v>0</v>
      </c>
      <c r="BJ22" s="147">
        <f>COUNTIF($X$46:$Z$75,"準・身")</f>
        <v>0</v>
      </c>
      <c r="BK22" s="147">
        <f>COUNTIF($K$89:$M$118,"準・身")</f>
        <v>0</v>
      </c>
      <c r="BL22" s="147">
        <f>COUNTIF($X$89:$Z$118,"準・身")</f>
        <v>0</v>
      </c>
      <c r="BM22" s="147">
        <f>COUNTIF($K$132:$M$161,"準・身")</f>
        <v>0</v>
      </c>
      <c r="BN22" s="147">
        <f>COUNTIF($X$132:$Z$161,"準・身")</f>
        <v>0</v>
      </c>
      <c r="BO22" s="147">
        <f>COUNTIF($K$175:$M$204,"準・身")</f>
        <v>0</v>
      </c>
      <c r="BP22" s="147">
        <f>COUNTIF($X$175:$Z$204,"準・身")</f>
        <v>0</v>
      </c>
      <c r="BQ22" s="147">
        <f>COUNTIF($K$218:$M$247,"準・身")</f>
        <v>0</v>
      </c>
      <c r="BR22" s="148">
        <f>COUNTIF($X$218:$Z$247,"準・身")</f>
        <v>0</v>
      </c>
      <c r="BS22" s="149">
        <f t="shared" si="12"/>
        <v>0</v>
      </c>
      <c r="BT22" s="167">
        <f>SUMIFS($H$13:$H$22,$J$13:$J$22,"小",$K$13:$K$22,"特・身")+SUMIFS($U$13:$U$22,$W$13:$W$22,"小",$X$13:$X$22,"特・身")+SUMIFS($H$46:$H$75,$J$46:$J$75,"小",$K$46:$K$75,"特・身")+SUMIFS($U$46:$U$75,$W$46:$W$75,"小",$X$46:$X$75,"特・身")+SUMIFS($H$89:$H$118,$J$89:$J$118,"小",$K$89:$K$118,"特・身")+SUMIFS($H$132:$H$161,$J$132:$J$161,"小",$K$132:$K$161,"特・身")+SUMIFS($H$175:$H$204,$J$175:$J$204,"小",$K$175:$K$204,"特・身")+SUMIFS($H$218:$H$247,$J$218:$J$247,"小",$K$218:$K$247,"特・身")+SUMIFS($U$89:$U$118,$W$89:$W$118,"小",$X$89:$X$118,"特・身")+SUMIFS($U$132:$U$161,$W$132:$W$161,"小",$X$132:$X$161,"特・身")+SUMIFS($U$175:$U$204,$W$175:$W$204,"小",$X$175:$X$204,"特・身")+SUMIFS($U$218:$U$247,$W$218:$W$247,"小",$X$218:$X$247,"特・身")</f>
        <v>0</v>
      </c>
      <c r="BU22" s="167">
        <f>SUMIFS($I$13:$I$22,$J$13:$J$22,"小",$K$13:$K$22,"特・身")+SUMIFS($V$13:$V$22,$W$13:$W$22,"小",$X$13:$X$22,"特・身")+SUMIFS($I$46:$I$75,$J$46:$J$75,"小",$K$46:$K$75,"特・身")+SUMIFS($V$46:$V$75,$W$46:$W$75,"小",$X$46:$X$75,"特・身")+SUMIFS($I$89:$I$118,$J$89:$J$118,"小",$K$89:$K$118,"特・身")+SUMIFS($I$132:$I$161,$J$132:$J$161,"小",$K$132:$K$161,"特・身")+SUMIFS($I$175:$I$204,$J$175:$J$204,"小",$K$175:$K$204,"特・身")+SUMIFS($I$218:$I$247,$J$218:$J$247,"小",$K$218:$K$247,"特・身")+SUMIFS($V$89:$V$118,$W$89:$W$118,"小",$X$89:$X$118,"特・身")+SUMIFS($V$132:$V$161,$W$132:$W$161,"小",$X$132:$X$161,"特・身")+SUMIFS($V$175:$V$204,$W$175:$W$204,"小",$X$175:$X$204,"特・身")+SUMIFS($V$218:$V$247,$W$218:$W$247,"小",$X$218:$X$247,"特・身")</f>
        <v>0</v>
      </c>
      <c r="BV22" s="167">
        <f>SUMIFS($H$13:$H$22,$J$13:$J$22,"中",$K$13:$K$22,"特・身")+SUMIFS($U$13:$U$22,$W$13:$W$22,"中",$X$13:$X$22,"特・身")+SUMIFS($H$46:$H$75,$J$46:$J$75,"中",$K$46:$K$75,"特・身")+SUMIFS($U$46:$U$75,$W$46:$W$75,"中",$X$46:$X$75,"特・身")+SUMIFS($H$89:$H$118,$J$89:$J$118,"中",$K$89:$K$118,"特・身")+SUMIFS($H$132:$H$161,$J$132:$J$161,"中",$K$132:$K$161,"特・身")+SUMIFS($H$175:$H$204,$J$175:$J$204,"中",$K$175:$K$204,"特・身")+SUMIFS($H$218:$H$247,$J$218:$J$247,"中",$K$218:$K$247,"特・身")+SUMIFS($U$89:$U$118,$W$89:$W$118,"中",$X$89:$X$118,"特・身")+SUMIFS($U$132:$U$161,$W$132:$W$161,"中",$X$132:$X$161,"特・身")+SUMIFS($U$175:$U$204,$W$175:$W$204,"中",$X$175:$X$204,"特・身")+SUMIFS($U$218:$U$247,$W$218:$W$247,"中",$X$218:$X$247,"特・身")</f>
        <v>0</v>
      </c>
      <c r="BW22" s="175">
        <f>SUMIFS($I$13:$I$22,$J$13:$J$22,"中",$K$13:$K$22,"特・身")+SUMIFS($V$13:$V$22,$W$13:$W$22,"中",$X$13:$X$22,"特・身")+SUMIFS($I$46:$I$75,$J$46:$J$75,"中",$K$46:$K$75,"特・身")+SUMIFS($V$46:$V$75,$W$46:$W$75,"中",$X$46:$X$75,"特・身")+SUMIFS($I$89:$I$118,$J$89:$J$118,"中",$K$89:$K$118,"特・身")+SUMIFS($I$132:$I$161,$J$132:$J$161,"中",$K$132:$K$161,"特・身")+SUMIFS($I$175:$I$204,$J$175:$J$204,"中",$K$175:$K$204,"特・身")+SUMIFS($I$218:$I$247,$J$218:$J$247,"中",$K$218:$K$247,"特・身")+SUMIFS($V$89:$V$118,$W$89:$W$118,"中",$X$89:$X$118,"特・身")+SUMIFS($V$132:$V$161,$W$132:$W$161,"中",$X$132:$X$161,"特・身")+SUMIFS($V$175:$V$204,$W$175:$W$204,"中",$X$175:$X$204,"特・身")+SUMIFS($V$218:$V$247,$W$218:$W$247,"中",$X$218:$X$247,"特・身")</f>
        <v>0</v>
      </c>
      <c r="BX22" s="180"/>
      <c r="BY22" s="180"/>
      <c r="BZ22" s="180"/>
      <c r="CA22" s="180"/>
      <c r="CC22" s="302" t="str">
        <f t="shared" si="7"/>
        <v>小泊/特・療</v>
      </c>
      <c r="CD22" s="312">
        <f t="shared" si="8"/>
        <v>0</v>
      </c>
      <c r="CE22" s="754">
        <f>IF(OR(BT23="",BT23=0),0,105)</f>
        <v>0</v>
      </c>
      <c r="CF22" s="754">
        <v>330</v>
      </c>
      <c r="CG22" s="761">
        <v>105</v>
      </c>
    </row>
    <row r="23" spans="1:90" ht="26.1" customHeight="1">
      <c r="A23" s="548"/>
      <c r="B23" s="549"/>
      <c r="C23" s="549"/>
      <c r="D23" s="549"/>
      <c r="E23" s="549"/>
      <c r="F23" s="549"/>
      <c r="G23" s="549"/>
      <c r="H23" s="751">
        <f>COUNTA(H13:H22,U13:U22,H46:H75,U46:U75,H89:H118,U89:U118,H132:H161,U132:U161,H175:H204,U175:U204,H218:H247,U218:U247)</f>
        <v>0</v>
      </c>
      <c r="I23" s="752">
        <f>COUNTA(I13:I22,V13:V22,I46:I75,V46:V75,I89:I118,V89:V118,I132:I161,V132:V161,I175:I204,V175:V204,I218:I247,V218:V247)</f>
        <v>0</v>
      </c>
      <c r="J23" s="550"/>
      <c r="K23" s="550"/>
      <c r="L23" s="551"/>
      <c r="M23" s="551"/>
      <c r="N23" s="548"/>
      <c r="O23" s="549"/>
      <c r="P23" s="549"/>
      <c r="Q23" s="549"/>
      <c r="R23" s="549"/>
      <c r="S23" s="549"/>
      <c r="T23" s="549"/>
      <c r="U23" s="550"/>
      <c r="V23" s="550"/>
      <c r="W23" s="550"/>
      <c r="X23" s="550"/>
      <c r="Y23" s="551"/>
      <c r="Z23" s="551"/>
      <c r="AA23" s="548"/>
      <c r="AB23" s="549"/>
      <c r="AC23" s="549"/>
      <c r="AD23" s="549"/>
      <c r="AE23" s="549"/>
      <c r="AF23" s="549"/>
      <c r="AG23" s="549"/>
      <c r="AH23" s="751">
        <f>COUNTA(AH13:AH22,AU13:AU22,AH46:AH75,AU46:AU75,AH89:AH118,AU89:AU118,AH132:AH161,AU132:AU161,AH175:AH204,AU175:AU204,AH218:AH247,AU218:AU247)</f>
        <v>10</v>
      </c>
      <c r="AI23" s="752">
        <f>COUNTA(AI13:AI22,AV13:AV22,AI46:AI75,AV46:AV75,AI89:AI118,AV89:AV118,AI132:AI161,AV132:AV161,AI175:AI204,AV175:AV204,AI218:AI247,AV218:AV247)</f>
        <v>2</v>
      </c>
      <c r="AJ23" s="550"/>
      <c r="AK23" s="550"/>
      <c r="AL23" s="551"/>
      <c r="AM23" s="551"/>
      <c r="AN23" s="548"/>
      <c r="AO23" s="549"/>
      <c r="AP23" s="549"/>
      <c r="AQ23" s="549"/>
      <c r="AR23" s="549"/>
      <c r="AS23" s="549"/>
      <c r="AT23" s="549"/>
      <c r="AU23" s="550"/>
      <c r="AV23" s="550"/>
      <c r="AW23" s="550"/>
      <c r="AX23" s="550"/>
      <c r="AY23" s="551"/>
      <c r="AZ23" s="551"/>
      <c r="BA23" s="83">
        <v>11</v>
      </c>
      <c r="BB23" s="84">
        <f t="shared" ref="BB23:BB26" si="13">COUNTA(U13:V13)</f>
        <v>0</v>
      </c>
      <c r="BC23" s="85">
        <f t="shared" ref="BC23:BC26" si="14">COUNTA(X13)</f>
        <v>0</v>
      </c>
      <c r="BD23" s="86">
        <f t="shared" ref="BD23:BE26" si="15">BB23-COUNTA(U13)</f>
        <v>0</v>
      </c>
      <c r="BE23" s="87">
        <f t="shared" si="15"/>
        <v>0</v>
      </c>
      <c r="BF23" s="193" t="s">
        <v>528</v>
      </c>
      <c r="BG23" s="147">
        <f>COUNTIF($K$13:$M$22,"特・療")</f>
        <v>0</v>
      </c>
      <c r="BH23" s="146">
        <f>COUNTIF($X$13:$Z$22,"特・療")</f>
        <v>0</v>
      </c>
      <c r="BI23" s="147">
        <f>COUNTIF($K$46:$M$75,"特・療")</f>
        <v>0</v>
      </c>
      <c r="BJ23" s="147">
        <f>COUNTIF($X$46:$Z$75,"特・療")</f>
        <v>0</v>
      </c>
      <c r="BK23" s="147">
        <f>COUNTIF($K$89:$M$118,"特・療")</f>
        <v>0</v>
      </c>
      <c r="BL23" s="147">
        <f>COUNTIF($X$89:$Z$118,"特・療")</f>
        <v>0</v>
      </c>
      <c r="BM23" s="147">
        <f>COUNTIF($K$132:$M$161,"特・療")</f>
        <v>0</v>
      </c>
      <c r="BN23" s="147">
        <f>COUNTIF($X$132:$Z$161,"特・療")</f>
        <v>0</v>
      </c>
      <c r="BO23" s="147">
        <f>COUNTIF($K$175:$M$204,"特・療")</f>
        <v>0</v>
      </c>
      <c r="BP23" s="147">
        <f>COUNTIF($X$175:$Z$204,"特・療")</f>
        <v>0</v>
      </c>
      <c r="BQ23" s="147">
        <f>COUNTIF($K$218:$M$247,"特・療")</f>
        <v>0</v>
      </c>
      <c r="BR23" s="148">
        <f>COUNTIF($X$218:$Z$247,"特・療")</f>
        <v>0</v>
      </c>
      <c r="BS23" s="149">
        <f t="shared" si="12"/>
        <v>0</v>
      </c>
      <c r="BT23" s="167">
        <f>SUMIFS($H$13:$H$22,$J$13:$J$22,"小",$K$13:$K$22,"特・療")+SUMIFS($U$13:$U$22,$W$13:$W$22,"小",$X$13:$X$22,"特・療")+SUMIFS($H$46:$H$75,$J$46:$J$75,"小",$K$46:$K$75,"特・療")+SUMIFS($U$46:$U$75,$W$46:$W$75,"小",$X$46:$X$75,"特・療")+SUMIFS($H$89:$H$118,$J$89:$J$118,"小",$K$89:$K$118,"特・療")+SUMIFS($H$132:$H$161,$J$132:$J$161,"小",$K$132:$K$161,"特・療")+SUMIFS($H$175:$H$204,$J$175:$J$204,"小",$K$175:$K$204,"特・療")+SUMIFS($H$218:$H$247,$J$218:$J$247,"小",$K$218:$K$247,"特・療")+SUMIFS($U$89:$U$118,$W$89:$W$118,"小",$X$89:$X$118,"特・療")+SUMIFS($U$132:$U$161,$W$132:$W$161,"小",$X$132:$X$161,"特・療")+SUMIFS($U$175:$U$204,$W$175:$W$204,"小",$X$175:$X$204,"特・療")+SUMIFS($U$218:$U$247,$W$218:$W$247,"小",$X$218:$X$247,"特・療")</f>
        <v>0</v>
      </c>
      <c r="BU23" s="167">
        <f>SUMIFS($I$13:$I$22,$J$13:$J$22,"小",$K$13:$K$22,"特・療")+SUMIFS($V$13:$V$22,$W$13:$W$22,"小",$X$13:$X$22,"特・療")+SUMIFS($I$46:$I$75,$J$46:$J$75,"小",$K$46:$K$75,"特・療")+SUMIFS($V$46:$V$75,$W$46:$W$75,"小",$X$46:$X$75,"特・療")+SUMIFS($I$89:$I$118,$J$89:$J$118,"小",$K$89:$K$118,"特・療")+SUMIFS($I$132:$I$161,$J$132:$J$161,"小",$K$132:$K$161,"特・療")+SUMIFS($I$175:$I$204,$J$175:$J$204,"小",$K$175:$K$204,"特・療")+SUMIFS($I$218:$I$247,$J$218:$J$247,"小",$K$218:$K$247,"特・療")+SUMIFS($V$89:$V$118,$W$89:$W$118,"小",$X$89:$X$118,"特・療")+SUMIFS($V$132:$V$161,$W$132:$W$161,"小",$X$132:$X$161,"特・療")+SUMIFS($V$175:$V$204,$W$175:$W$204,"小",$X$175:$X$204,"特・療")+SUMIFS($V$218:$V$247,$W$218:$W$247,"小",$X$218:$X$247,"特・療")</f>
        <v>0</v>
      </c>
      <c r="BV23" s="167">
        <f>SUMIFS($H$13:$H$22,$J$13:$J$22,"中",$K$13:$K$22,"特・療")+SUMIFS($U$13:$U$22,$W$13:$W$22,"中",$X$13:$X$22,"特・療")+SUMIFS($H$46:$H$75,$J$46:$J$75,"中",$K$46:$K$75,"特・療")+SUMIFS($U$46:$U$75,$W$46:$W$75,"中",$X$46:$X$75,"特・療")+SUMIFS($H$89:$H$118,$J$89:$J$118,"中",$K$89:$K$118,"特・療")+SUMIFS($H$132:$H$161,$J$132:$J$161,"中",$K$132:$K$161,"特・療")+SUMIFS($H$175:$H$204,$J$175:$J$204,"中",$K$175:$K$204,"特・療")+SUMIFS($H$218:$H$247,$J$218:$J$247,"中",$K$218:$K$247,"特・療")+SUMIFS($U$89:$U$118,$W$89:$W$118,"中",$X$89:$X$118,"特・療")+SUMIFS($U$132:$U$161,$W$132:$W$161,"中",$X$132:$X$161,"特・療")+SUMIFS($U$175:$U$204,$W$175:$W$204,"中",$X$175:$X$204,"特・療")+SUMIFS($U$218:$U$247,$W$218:$W$247,"中",$X$218:$X$247,"特・療")</f>
        <v>0</v>
      </c>
      <c r="BW23" s="175">
        <f>SUMIFS($I$13:$I$22,$J$13:$J$22,"中",$K$13:$K$22,"特・療")+SUMIFS($V$13:$V$22,$W$13:$W$22,"中",$X$13:$X$22,"特・療")+SUMIFS($I$46:$I$75,$J$46:$J$75,"中",$K$46:$K$75,"特・療")+SUMIFS($V$46:$V$75,$W$46:$W$75,"中",$X$46:$X$75,"特・療")+SUMIFS($I$89:$I$118,$J$89:$J$118,"中",$K$89:$K$118,"特・療")+SUMIFS($I$132:$I$161,$J$132:$J$161,"中",$K$132:$K$161,"特・療")+SUMIFS($I$175:$I$204,$J$175:$J$204,"中",$K$175:$K$204,"特・療")+SUMIFS($I$218:$I$247,$J$218:$J$247,"中",$K$218:$K$247,"特・療")+SUMIFS($V$89:$V$118,$W$89:$W$118,"中",$X$89:$X$118,"特・療")+SUMIFS($V$132:$V$161,$W$132:$W$161,"中",$X$132:$X$161,"特・療")+SUMIFS($V$175:$V$204,$W$175:$W$204,"中",$X$175:$X$204,"特・療")+SUMIFS($V$218:$V$247,$W$218:$W$247,"中",$X$218:$X$247,"特・療")</f>
        <v>0</v>
      </c>
      <c r="BX23" s="180"/>
      <c r="BY23" s="180"/>
      <c r="BZ23" s="180"/>
      <c r="CA23" s="180"/>
      <c r="CC23" s="302" t="str">
        <f t="shared" si="7"/>
        <v>小泊/特・精</v>
      </c>
      <c r="CD23" s="312">
        <f t="shared" si="8"/>
        <v>0</v>
      </c>
      <c r="CE23" s="754">
        <f>IF(OR(BT24="",BT24=0),0,104)</f>
        <v>0</v>
      </c>
      <c r="CF23" s="754">
        <v>330</v>
      </c>
      <c r="CG23" s="761">
        <v>104</v>
      </c>
    </row>
    <row r="24" spans="1:90" s="5" customFormat="1" ht="24" customHeight="1">
      <c r="A24" s="1959" t="s">
        <v>2935</v>
      </c>
      <c r="B24" s="1959"/>
      <c r="C24" s="1959"/>
      <c r="D24" s="1959"/>
      <c r="E24" s="1959"/>
      <c r="F24" s="1959"/>
      <c r="G24" s="1959"/>
      <c r="H24" s="1959"/>
      <c r="I24" s="1959"/>
      <c r="J24" s="1959"/>
      <c r="K24" s="1959"/>
      <c r="L24" s="1959"/>
      <c r="M24" s="1959"/>
      <c r="N24" s="1959"/>
      <c r="O24" s="1959"/>
      <c r="P24" s="1959"/>
      <c r="Q24" s="1959"/>
      <c r="R24" s="1959"/>
      <c r="S24" s="1959"/>
      <c r="T24" s="1959"/>
      <c r="U24" s="1959"/>
      <c r="V24" s="1959"/>
      <c r="W24" s="1959"/>
      <c r="X24" s="1959"/>
      <c r="Y24" s="1959"/>
      <c r="Z24" s="1959"/>
      <c r="AA24" s="1959" t="s">
        <v>2935</v>
      </c>
      <c r="AB24" s="1959"/>
      <c r="AC24" s="1959"/>
      <c r="AD24" s="1959"/>
      <c r="AE24" s="1959"/>
      <c r="AF24" s="1959"/>
      <c r="AG24" s="1959"/>
      <c r="AH24" s="1959"/>
      <c r="AI24" s="1959"/>
      <c r="AJ24" s="1959"/>
      <c r="AK24" s="1959"/>
      <c r="AL24" s="1959"/>
      <c r="AM24" s="1959"/>
      <c r="AN24" s="1959"/>
      <c r="AO24" s="1959"/>
      <c r="AP24" s="1959"/>
      <c r="AQ24" s="1959"/>
      <c r="AR24" s="1959"/>
      <c r="AS24" s="1959"/>
      <c r="AT24" s="1959"/>
      <c r="AU24" s="1959"/>
      <c r="AV24" s="1959"/>
      <c r="AW24" s="1959"/>
      <c r="AX24" s="1959"/>
      <c r="AY24" s="1959"/>
      <c r="AZ24" s="1959"/>
      <c r="BA24" s="83">
        <v>12</v>
      </c>
      <c r="BB24" s="84">
        <f t="shared" si="13"/>
        <v>0</v>
      </c>
      <c r="BC24" s="85">
        <f t="shared" si="14"/>
        <v>0</v>
      </c>
      <c r="BD24" s="86">
        <f t="shared" si="15"/>
        <v>0</v>
      </c>
      <c r="BE24" s="87">
        <f t="shared" si="15"/>
        <v>0</v>
      </c>
      <c r="BF24" s="196" t="s">
        <v>529</v>
      </c>
      <c r="BG24" s="147">
        <f>COUNTIF($K$13:$M$22,"特・精")</f>
        <v>0</v>
      </c>
      <c r="BH24" s="146">
        <f>COUNTIF($X$13:$Z$22,"特・精")</f>
        <v>0</v>
      </c>
      <c r="BI24" s="147">
        <f>COUNTIF($K$46:$M$75,"特・精")</f>
        <v>0</v>
      </c>
      <c r="BJ24" s="147">
        <f>COUNTIF($X$46:$Z$75,"特・精")</f>
        <v>0</v>
      </c>
      <c r="BK24" s="147">
        <f>COUNTIF($K$89:$M$118,"特・精")</f>
        <v>0</v>
      </c>
      <c r="BL24" s="147">
        <f>COUNTIF($X$89:$Z$118,"特・精")</f>
        <v>0</v>
      </c>
      <c r="BM24" s="147">
        <f>COUNTIF($K$132:$M$161,"特・精")</f>
        <v>0</v>
      </c>
      <c r="BN24" s="147">
        <f>COUNTIF($X$132:$Z$161,"特・精")</f>
        <v>0</v>
      </c>
      <c r="BO24" s="147">
        <f>COUNTIF($K$175:$M$204,"特・精")</f>
        <v>0</v>
      </c>
      <c r="BP24" s="147">
        <f>COUNTIF($X$175:$Z$204,"特・精")</f>
        <v>0</v>
      </c>
      <c r="BQ24" s="147">
        <f>COUNTIF($K$218:$M$247,"特・精")</f>
        <v>0</v>
      </c>
      <c r="BR24" s="148">
        <f>COUNTIF($X$218:$Z$247,"特・精")</f>
        <v>0</v>
      </c>
      <c r="BS24" s="149">
        <f t="shared" si="12"/>
        <v>0</v>
      </c>
      <c r="BT24" s="167">
        <f>SUMIFS($H$13:$H$22,$J$13:$J$22,"小",$K$13:$K$22,"特・精")+SUMIFS($U$13:$U$22,$W$13:$W$22,"小",$X$13:$X$22,"特・精")+SUMIFS($H$46:$H$75,$J$46:$J$75,"小",$K$46:$K$75,"特・精")+SUMIFS($U$46:$U$75,$W$46:$W$75,"小",$X$46:$X$75,"特・精")+SUMIFS($H$89:$H$118,$J$89:$J$118,"小",$K$89:$K$118,"特・精")+SUMIFS($H$132:$H$161,$J$132:$J$161,"小",$K$132:$K$161,"特・精")+SUMIFS($H$175:$H$204,$J$175:$J$204,"小",$K$175:$K$204,"特・精")+SUMIFS($H$218:$H$247,$J$218:$J$247,"小",$K$218:$K$247,"特・精")+SUMIFS($U$89:$U$118,$W$89:$W$118,"小",$X$89:$X$118,"特・精")+SUMIFS($U$132:$U$161,$W$132:$W$161,"小",$X$132:$X$161,"特・精")+SUMIFS($U$175:$U$204,$W$175:$W$204,"小",$X$175:$X$204,"特・精")+SUMIFS($U$218:$U$247,$W$218:$W$247,"小",$X$218:$X$247,"特・精")</f>
        <v>0</v>
      </c>
      <c r="BU24" s="167">
        <f>SUMIFS($I$13:$I$22,$J$13:$J$22,"小",$K$13:$K$22,"特・精")+SUMIFS($V$13:$V$22,$W$13:$W$22,"小",$X$13:$X$22,"特・精")+SUMIFS($I$46:$I$75,$J$46:$J$75,"小",$K$46:$K$75,"特・精")+SUMIFS($V$46:$V$75,$W$46:$W$75,"小",$X$46:$X$75,"特・精")+SUMIFS($I$89:$I$118,$J$89:$J$118,"小",$K$89:$K$118,"特・精")+SUMIFS($I$132:$I$161,$J$132:$J$161,"小",$K$132:$K$161,"特・精")+SUMIFS($I$175:$I$204,$J$175:$J$204,"小",$K$175:$K$204,"特・精")+SUMIFS($I$218:$I$247,$J$218:$J$247,"小",$K$218:$K$247,"特・精")+SUMIFS($V$89:$V$118,$W$89:$W$118,"小",$X$89:$X$118,"特・精")+SUMIFS($V$132:$V$161,$W$132:$W$161,"小",$X$132:$X$161,"特・精")+SUMIFS($V$175:$V$204,$W$175:$W$204,"小",$X$175:$X$204,"特・精")+SUMIFS($V$218:$V$247,$W$218:$W$247,"小",$X$218:$X$247,"特・精")</f>
        <v>0</v>
      </c>
      <c r="BV24" s="167">
        <f>SUMIFS($H$13:$H$22,$J$13:$J$22,"中",$K$13:$K$22,"特・精")+SUMIFS($U$13:$U$22,$W$13:$W$22,"中",$X$13:$X$22,"特・精")+SUMIFS($H$46:$H$75,$J$46:$J$75,"中",$K$46:$K$75,"特・精")+SUMIFS($U$46:$U$75,$W$46:$W$75,"中",$X$46:$X$75,"特・精")+SUMIFS($H$89:$H$118,$J$89:$J$118,"中",$K$89:$K$118,"特・精")+SUMIFS($H$132:$H$161,$J$132:$J$161,"中",$K$132:$K$161,"特・精")+SUMIFS($H$175:$H$204,$J$175:$J$204,"中",$K$175:$K$204,"特・精")+SUMIFS($H$218:$H$247,$J$218:$J$247,"中",$K$218:$K$247,"特・精")+SUMIFS($U$89:$U$118,$W$89:$W$118,"中",$X$89:$X$118,"特・精")+SUMIFS($U$132:$U$161,$W$132:$W$161,"中",$X$132:$X$161,"特・精")+SUMIFS($U$175:$U$204,$W$175:$W$204,"中",$X$175:$X$204,"特・精")+SUMIFS($U$218:$U$247,$W$218:$W$247,"中",$X$218:$X$247,"特・精")</f>
        <v>0</v>
      </c>
      <c r="BW24" s="175">
        <f>SUMIFS($I$13:$I$22,$J$13:$J$22,"中",$K$13:$K$22,"特・精")+SUMIFS($V$13:$V$22,$W$13:$W$22,"中",$X$13:$X$22,"特・精")+SUMIFS($I$46:$I$75,$J$46:$J$75,"中",$K$46:$K$75,"特・精")+SUMIFS($V$46:$V$75,$W$46:$W$75,"中",$X$46:$X$75,"特・精")+SUMIFS($I$89:$I$118,$J$89:$J$118,"中",$K$89:$K$118,"特・精")+SUMIFS($I$132:$I$161,$J$132:$J$161,"中",$K$132:$K$161,"特・精")+SUMIFS($I$175:$I$204,$J$175:$J$204,"中",$K$175:$K$204,"特・精")+SUMIFS($I$218:$I$247,$J$218:$J$247,"中",$K$218:$K$247,"特・精")+SUMIFS($V$89:$V$118,$W$89:$W$118,"中",$X$89:$X$118,"特・精")+SUMIFS($V$132:$V$161,$W$132:$W$161,"中",$X$132:$X$161,"特・精")+SUMIFS($V$175:$V$204,$W$175:$W$204,"中",$X$175:$X$204,"特・精")+SUMIFS($V$218:$V$247,$W$218:$W$247,"中",$X$218:$X$247,"特・精")</f>
        <v>0</v>
      </c>
      <c r="BX24" s="181"/>
      <c r="BY24" s="181"/>
      <c r="BZ24" s="181"/>
      <c r="CA24" s="181"/>
      <c r="CC24" s="302" t="str">
        <f t="shared" si="7"/>
        <v>小泊/身・療</v>
      </c>
      <c r="CD24" s="312">
        <f t="shared" si="8"/>
        <v>0</v>
      </c>
      <c r="CE24" s="754">
        <f>IF(OR(BT25="",BT25=0),0,103)</f>
        <v>0</v>
      </c>
      <c r="CF24" s="754">
        <v>330</v>
      </c>
      <c r="CG24" s="761">
        <v>103</v>
      </c>
      <c r="CI24" s="298"/>
      <c r="CJ24" s="298"/>
    </row>
    <row r="25" spans="1:90" s="5" customFormat="1" ht="24" customHeight="1">
      <c r="A25" s="1942" t="s">
        <v>3033</v>
      </c>
      <c r="B25" s="1943"/>
      <c r="C25" s="1943"/>
      <c r="D25" s="1943"/>
      <c r="E25" s="1943"/>
      <c r="F25" s="1943"/>
      <c r="G25" s="1943"/>
      <c r="H25" s="1943"/>
      <c r="I25" s="1943"/>
      <c r="J25" s="1943"/>
      <c r="K25" s="1943"/>
      <c r="L25" s="1943"/>
      <c r="M25" s="1943"/>
      <c r="N25" s="1943"/>
      <c r="O25" s="1943"/>
      <c r="P25" s="1943"/>
      <c r="Q25" s="1943"/>
      <c r="R25" s="1943"/>
      <c r="S25" s="1943"/>
      <c r="T25" s="1943"/>
      <c r="U25" s="1943"/>
      <c r="V25" s="1943"/>
      <c r="W25" s="1943"/>
      <c r="X25" s="1943"/>
      <c r="Y25" s="1943"/>
      <c r="Z25" s="1943"/>
      <c r="AA25" s="1942" t="s">
        <v>2934</v>
      </c>
      <c r="AB25" s="1943"/>
      <c r="AC25" s="1943"/>
      <c r="AD25" s="1943"/>
      <c r="AE25" s="1943"/>
      <c r="AF25" s="1943"/>
      <c r="AG25" s="1943"/>
      <c r="AH25" s="1943"/>
      <c r="AI25" s="1943"/>
      <c r="AJ25" s="1943"/>
      <c r="AK25" s="1943"/>
      <c r="AL25" s="1943"/>
      <c r="AM25" s="1943"/>
      <c r="AN25" s="1943"/>
      <c r="AO25" s="1943"/>
      <c r="AP25" s="1943"/>
      <c r="AQ25" s="1943"/>
      <c r="AR25" s="1943"/>
      <c r="AS25" s="1943"/>
      <c r="AT25" s="1943"/>
      <c r="AU25" s="1943"/>
      <c r="AV25" s="1943"/>
      <c r="AW25" s="1943"/>
      <c r="AX25" s="1943"/>
      <c r="AY25" s="1943"/>
      <c r="AZ25" s="1943"/>
      <c r="BA25" s="83">
        <v>13</v>
      </c>
      <c r="BB25" s="84">
        <f t="shared" si="13"/>
        <v>0</v>
      </c>
      <c r="BC25" s="85">
        <f t="shared" si="14"/>
        <v>0</v>
      </c>
      <c r="BD25" s="86">
        <f t="shared" si="15"/>
        <v>0</v>
      </c>
      <c r="BE25" s="87">
        <f t="shared" si="15"/>
        <v>0</v>
      </c>
      <c r="BF25" s="196" t="s">
        <v>530</v>
      </c>
      <c r="BG25" s="147">
        <f>COUNTIF($K$13:$M$22,"身・療")</f>
        <v>0</v>
      </c>
      <c r="BH25" s="146">
        <f>COUNTIF($X$13:$Z$22,"身・療")</f>
        <v>0</v>
      </c>
      <c r="BI25" s="147">
        <f>COUNTIF($K$46:$M$75,"身・療")</f>
        <v>0</v>
      </c>
      <c r="BJ25" s="147">
        <f>COUNTIF($X$46:$Z$75,"身・療")</f>
        <v>0</v>
      </c>
      <c r="BK25" s="147">
        <f>COUNTIF($K$89:$M$118,"身・療")</f>
        <v>0</v>
      </c>
      <c r="BL25" s="147">
        <f>COUNTIF($X$89:$Z$118,"身・療")</f>
        <v>0</v>
      </c>
      <c r="BM25" s="147">
        <f>COUNTIF($K$132:$M$161,"身・療")</f>
        <v>0</v>
      </c>
      <c r="BN25" s="147">
        <f>COUNTIF($X$132:$Z$161,"身・療")</f>
        <v>0</v>
      </c>
      <c r="BO25" s="147">
        <f>COUNTIF($K$175:$M$204,"身・療")</f>
        <v>0</v>
      </c>
      <c r="BP25" s="147">
        <f>COUNTIF($X$175:$Z$204,"身・療")</f>
        <v>0</v>
      </c>
      <c r="BQ25" s="147">
        <f>COUNTIF($K$218:$M$247,"身・療")</f>
        <v>0</v>
      </c>
      <c r="BR25" s="148">
        <f>COUNTIF($X$218:$Z$247,"身・療")</f>
        <v>0</v>
      </c>
      <c r="BS25" s="149">
        <f t="shared" si="12"/>
        <v>0</v>
      </c>
      <c r="BT25" s="167">
        <f>SUMIFS($H$13:$H$22,$J$13:$J$22,"小",$K$13:$K$22,"身・療")+SUMIFS($U$13:$U$22,$W$13:$W$22,"小",$X$13:$X$22,"身・療")+SUMIFS($H$46:$H$75,$J$46:$J$75,"小",$K$46:$K$75,"身・療")+SUMIFS($U$46:$U$75,$W$46:$W$75,"小",$X$46:$X$75,"身・療")+SUMIFS($H$89:$H$118,$J$89:$J$118,"小",$K$89:$K$118,"身・療")+SUMIFS($H$132:$H$161,$J$132:$J$161,"小",$K$132:$K$161,"身・療")+SUMIFS($H$175:$H$204,$J$175:$J$204,"小",$K$175:$K$204,"身・療")+SUMIFS($H$218:$H$247,$J$218:$J$247,"小",$K$218:$K$247,"身・療")+SUMIFS($U$89:$U$118,$W$89:$W$118,"小",$X$89:$X$118,"身・療")+SUMIFS($U$132:$U$161,$W$132:$W$161,"小",$X$132:$X$161,"身・療")+SUMIFS($U$175:$U$204,$W$175:$W$204,"小",$X$175:$X$204,"身・療")+SUMIFS($U$218:$U$247,$W$218:$W$247,"小",$X$218:$X$247,"身・療")</f>
        <v>0</v>
      </c>
      <c r="BU25" s="167">
        <f>SUMIFS($I$13:$I$22,$J$13:$J$22,"小",$K$13:$K$22,"身・療")+SUMIFS($V$13:$V$22,$W$13:$W$22,"小",$X$13:$X$22,"身・療")+SUMIFS($I$46:$I$75,$J$46:$J$75,"小",$K$46:$K$75,"身・療")+SUMIFS($V$46:$V$75,$W$46:$W$75,"小",$X$46:$X$75,"身・療")+SUMIFS($I$89:$I$118,$J$89:$J$118,"小",$K$89:$K$118,"身・療")+SUMIFS($I$132:$I$161,$J$132:$J$161,"小",$K$132:$K$161,"身・療")+SUMIFS($I$175:$I$204,$J$175:$J$204,"小",$K$175:$K$204,"身・療")+SUMIFS($I$218:$I$247,$J$218:$J$247,"小",$K$218:$K$247,"身・療")+SUMIFS($V$89:$V$118,$W$89:$W$118,"小",$X$89:$X$118,"身・療")+SUMIFS($V$132:$V$161,$W$132:$W$161,"小",$X$132:$X$161,"身・療")+SUMIFS($V$175:$V$204,$W$175:$W$204,"小",$X$175:$X$204,"身・療")+SUMIFS($V$218:$V$247,$W$218:$W$247,"小",$X$218:$X$247,"身・療")</f>
        <v>0</v>
      </c>
      <c r="BV25" s="167">
        <f>SUMIFS($H$13:$H$22,$J$13:$J$22,"中",$K$13:$K$22,"身・療")+SUMIFS($U$13:$U$22,$W$13:$W$22,"中",$X$13:$X$22,"身・療")+SUMIFS($H$46:$H$75,$J$46:$J$75,"中",$K$46:$K$75,"身・療")+SUMIFS($U$46:$U$75,$W$46:$W$75,"中",$X$46:$X$75,"身・療")+SUMIFS($H$89:$H$118,$J$89:$J$118,"中",$K$89:$K$118,"身・療")+SUMIFS($H$132:$H$161,$J$132:$J$161,"中",$K$132:$K$161,"身・療")+SUMIFS($H$175:$H$204,$J$175:$J$204,"中",$K$175:$K$204,"身・療")+SUMIFS($H$218:$H$247,$J$218:$J$247,"中",$K$218:$K$247,"身・療")+SUMIFS($U$89:$U$118,$W$89:$W$118,"中",$X$89:$X$118,"身・療")+SUMIFS($U$132:$U$161,$W$132:$W$161,"中",$X$132:$X$161,"身・療")+SUMIFS($U$175:$U$204,$W$175:$W$204,"中",$X$175:$X$204,"身・療")+SUMIFS($U$218:$U$247,$W$218:$W$247,"中",$X$218:$X$247,"身・療")</f>
        <v>0</v>
      </c>
      <c r="BW25" s="175">
        <f>SUMIFS($I$13:$I$22,$J$13:$J$22,"中",$K$13:$K$22,"身・療")+SUMIFS($V$13:$V$22,$W$13:$W$22,"中",$X$13:$X$22,"身・療")+SUMIFS($I$46:$I$75,$J$46:$J$75,"中",$K$46:$K$75,"身・療")+SUMIFS($V$46:$V$75,$W$46:$W$75,"中",$X$46:$X$75,"身・療")+SUMIFS($I$89:$I$118,$J$89:$J$118,"中",$K$89:$K$118,"身・療")+SUMIFS($I$132:$I$161,$J$132:$J$161,"中",$K$132:$K$161,"身・療")+SUMIFS($I$175:$I$204,$J$175:$J$204,"中",$K$175:$K$204,"身・療")+SUMIFS($I$218:$I$247,$J$218:$J$247,"中",$K$218:$K$247,"身・療")+SUMIFS($V$89:$V$118,$W$89:$W$118,"中",$X$89:$X$118,"身・療")+SUMIFS($V$132:$V$161,$W$132:$W$161,"中",$X$132:$X$161,"身・療")+SUMIFS($V$175:$V$204,$W$175:$W$204,"中",$X$175:$X$204,"身・療")+SUMIFS($V$218:$V$247,$W$218:$W$247,"中",$X$218:$X$247,"身・療")</f>
        <v>0</v>
      </c>
      <c r="BX25" s="181"/>
      <c r="BY25" s="181"/>
      <c r="BZ25" s="181"/>
      <c r="CA25" s="181"/>
      <c r="CC25" s="302" t="str">
        <f t="shared" si="7"/>
        <v>小泊/身・精</v>
      </c>
      <c r="CD25" s="312">
        <f t="shared" si="8"/>
        <v>0</v>
      </c>
      <c r="CE25" s="754">
        <f>IF(OR(BT26="",BT26=0),0,102)</f>
        <v>0</v>
      </c>
      <c r="CF25" s="754">
        <v>330</v>
      </c>
      <c r="CG25" s="761">
        <v>102</v>
      </c>
      <c r="CI25" s="298"/>
      <c r="CJ25" s="298"/>
    </row>
    <row r="26" spans="1:90" s="5" customFormat="1" ht="60" customHeight="1">
      <c r="A26" s="1958" t="s">
        <v>3032</v>
      </c>
      <c r="B26" s="1958"/>
      <c r="C26" s="1958"/>
      <c r="D26" s="1958"/>
      <c r="E26" s="1958"/>
      <c r="F26" s="1958"/>
      <c r="G26" s="1958"/>
      <c r="H26" s="1958"/>
      <c r="I26" s="1958"/>
      <c r="J26" s="1958"/>
      <c r="K26" s="1958"/>
      <c r="L26" s="1958"/>
      <c r="M26" s="1958"/>
      <c r="N26" s="1958"/>
      <c r="O26" s="1958"/>
      <c r="P26" s="1958"/>
      <c r="Q26" s="1958"/>
      <c r="R26" s="1958"/>
      <c r="S26" s="1958"/>
      <c r="T26" s="1958"/>
      <c r="U26" s="1958"/>
      <c r="V26" s="1958"/>
      <c r="W26" s="1958"/>
      <c r="X26" s="1958"/>
      <c r="Y26" s="1958"/>
      <c r="Z26" s="1958"/>
      <c r="AA26" s="1958" t="s">
        <v>2933</v>
      </c>
      <c r="AB26" s="1959"/>
      <c r="AC26" s="1959"/>
      <c r="AD26" s="1959"/>
      <c r="AE26" s="1959"/>
      <c r="AF26" s="1959"/>
      <c r="AG26" s="1959"/>
      <c r="AH26" s="1959"/>
      <c r="AI26" s="1959"/>
      <c r="AJ26" s="1959"/>
      <c r="AK26" s="1959"/>
      <c r="AL26" s="1959"/>
      <c r="AM26" s="1959"/>
      <c r="AN26" s="1959"/>
      <c r="AO26" s="1959"/>
      <c r="AP26" s="1959"/>
      <c r="AQ26" s="1959"/>
      <c r="AR26" s="1959"/>
      <c r="AS26" s="1959"/>
      <c r="AT26" s="1959"/>
      <c r="AU26" s="1959"/>
      <c r="AV26" s="1959"/>
      <c r="AW26" s="1959"/>
      <c r="AX26" s="1959"/>
      <c r="AY26" s="1959"/>
      <c r="AZ26" s="1959"/>
      <c r="BA26" s="83">
        <v>14</v>
      </c>
      <c r="BB26" s="84">
        <f t="shared" si="13"/>
        <v>0</v>
      </c>
      <c r="BC26" s="85">
        <f t="shared" si="14"/>
        <v>0</v>
      </c>
      <c r="BD26" s="86">
        <f t="shared" si="15"/>
        <v>0</v>
      </c>
      <c r="BE26" s="87">
        <f t="shared" si="15"/>
        <v>0</v>
      </c>
      <c r="BF26" s="197" t="s">
        <v>531</v>
      </c>
      <c r="BG26" s="147">
        <f>COUNTIF($K$13:$M$22,"身・精")</f>
        <v>0</v>
      </c>
      <c r="BH26" s="146">
        <f>COUNTIF($X$13:$Z$22,"身・精")</f>
        <v>0</v>
      </c>
      <c r="BI26" s="147">
        <f>COUNTIF($K$46:$M$75,"身・精")</f>
        <v>0</v>
      </c>
      <c r="BJ26" s="147">
        <f>COUNTIF($X$46:$Z$75,"身・精")</f>
        <v>0</v>
      </c>
      <c r="BK26" s="147">
        <f>COUNTIF($K$89:$M$118,"身・精")</f>
        <v>0</v>
      </c>
      <c r="BL26" s="147">
        <f>COUNTIF($X$89:$Z$118,"身・精")</f>
        <v>0</v>
      </c>
      <c r="BM26" s="147">
        <f>COUNTIF($K$132:$M$161,"身・精")</f>
        <v>0</v>
      </c>
      <c r="BN26" s="147">
        <f>COUNTIF($X$132:$Z$161,"身・精")</f>
        <v>0</v>
      </c>
      <c r="BO26" s="147">
        <f>COUNTIF($K$175:$M$204,"身・精")</f>
        <v>0</v>
      </c>
      <c r="BP26" s="147">
        <f>COUNTIF($X$175:$Z$204,"身・精")</f>
        <v>0</v>
      </c>
      <c r="BQ26" s="147">
        <f>COUNTIF($K$218:$M$247,"身・精")</f>
        <v>0</v>
      </c>
      <c r="BR26" s="148">
        <f>COUNTIF($X$218:$Z$247,"身・精")</f>
        <v>0</v>
      </c>
      <c r="BS26" s="149">
        <f t="shared" si="12"/>
        <v>0</v>
      </c>
      <c r="BT26" s="167">
        <f>SUMIFS($H$13:$H$22,$J$13:$J$22,"小",$K$13:$K$22,"身・精")+SUMIFS($U$13:$U$22,$W$13:$W$22,"小",$X$13:$X$22,"身・精")+SUMIFS($H$46:$H$75,$J$46:$J$75,"小",$K$46:$K$75,"身・精")+SUMIFS($U$46:$U$75,$W$46:$W$75,"小",$X$46:$X$75,"身・精")+SUMIFS($H$89:$H$118,$J$89:$J$118,"小",$K$89:$K$118,"身・精")+SUMIFS($H$132:$H$161,$J$132:$J$161,"小",$K$132:$K$161,"身・精")+SUMIFS($H$175:$H$204,$J$175:$J$204,"小",$K$175:$K$204,"身・精")+SUMIFS($H$218:$H$247,$J$218:$J$247,"小",$K$218:$K$247,"身・精")+SUMIFS($U$89:$U$118,$W$89:$W$118,"小",$X$89:$X$118,"身・精")+SUMIFS($U$132:$U$161,$W$132:$W$161,"小",$X$132:$X$161,"身・精")+SUMIFS($U$175:$U$204,$W$175:$W$204,"小",$X$175:$X$204,"身・精")+SUMIFS($U$218:$U$247,$W$218:$W$247,"小",$X$218:$X$247,"身・精")</f>
        <v>0</v>
      </c>
      <c r="BU26" s="167">
        <f>SUMIFS($I$13:$I$22,$J$13:$J$22,"小",$K$13:$K$22,"身・精")+SUMIFS($V$13:$V$22,$W$13:$W$22,"小",$X$13:$X$22,"身・精")+SUMIFS($I$46:$I$75,$J$46:$J$75,"小",$K$46:$K$75,"身・精")+SUMIFS($V$46:$V$75,$W$46:$W$75,"小",$X$46:$X$75,"身・精")+SUMIFS($I$89:$I$118,$J$89:$J$118,"小",$K$89:$K$118,"身・精")+SUMIFS($I$132:$I$161,$J$132:$J$161,"小",$K$132:$K$161,"身・精")+SUMIFS($I$175:$I$204,$J$175:$J$204,"小",$K$175:$K$204,"身・精")+SUMIFS($I$218:$I$247,$J$218:$J$247,"小",$K$218:$K$247,"身・精")+SUMIFS($V$89:$V$118,$W$89:$W$118,"小",$X$89:$X$118,"身・精")+SUMIFS($V$132:$V$161,$W$132:$W$161,"小",$X$132:$X$161,"身・精")+SUMIFS($V$175:$V$204,$W$175:$W$204,"小",$X$175:$X$204,"身・精")+SUMIFS($V$218:$V$247,$W$218:$W$247,"小",$X$218:$X$247,"身・精")</f>
        <v>0</v>
      </c>
      <c r="BV26" s="167">
        <f>SUMIFS($H$13:$H$22,$J$13:$J$22,"中",$K$13:$K$22,"身・精")+SUMIFS($U$13:$U$22,$W$13:$W$22,"中",$X$13:$X$22,"身・精")+SUMIFS($H$46:$H$75,$J$46:$J$75,"中",$K$46:$K$75,"身・精")+SUMIFS($U$46:$U$75,$W$46:$W$75,"中",$X$46:$X$75,"身・精")+SUMIFS($H$89:$H$118,$J$89:$J$118,"中",$K$89:$K$118,"身・精")+SUMIFS($H$132:$H$161,$J$132:$J$161,"中",$K$132:$K$161,"身・精")+SUMIFS($H$175:$H$204,$J$175:$J$204,"中",$K$175:$K$204,"身・精")+SUMIFS($H$218:$H$247,$J$218:$J$247,"中",$K$218:$K$247,"身・精")+SUMIFS($U$89:$U$118,$W$89:$W$118,"中",$X$89:$X$118,"身・精")+SUMIFS($U$132:$U$161,$W$132:$W$161,"中",$X$132:$X$161,"身・精")+SUMIFS($U$175:$U$204,$W$175:$W$204,"中",$X$175:$X$204,"身・精")+SUMIFS($U$218:$U$247,$W$218:$W$247,"中",$X$218:$X$247,"身・精")</f>
        <v>0</v>
      </c>
      <c r="BW26" s="175">
        <f>SUMIFS($I$13:$I$22,$J$13:$J$22,"中",$K$13:$K$22,"身・精")+SUMIFS($V$13:$V$22,$W$13:$W$22,"中",$X$13:$X$22,"身・精")+SUMIFS($I$46:$I$75,$J$46:$J$75,"中",$K$46:$K$75,"身・精")+SUMIFS($V$46:$V$75,$W$46:$W$75,"中",$X$46:$X$75,"身・精")+SUMIFS($I$89:$I$118,$J$89:$J$118,"中",$K$89:$K$118,"身・精")+SUMIFS($I$132:$I$161,$J$132:$J$161,"中",$K$132:$K$161,"身・精")+SUMIFS($I$175:$I$204,$J$175:$J$204,"中",$K$175:$K$204,"身・精")+SUMIFS($I$218:$I$247,$J$218:$J$247,"中",$K$218:$K$247,"身・精")+SUMIFS($V$89:$V$118,$W$89:$W$118,"中",$X$89:$X$118,"身・精")+SUMIFS($V$132:$V$161,$W$132:$W$161,"中",$X$132:$X$161,"身・精")+SUMIFS($V$175:$V$204,$W$175:$W$204,"中",$X$175:$X$204,"身・精")+SUMIFS($V$218:$V$247,$W$218:$W$247,"中",$X$218:$X$247,"身・精")</f>
        <v>0</v>
      </c>
      <c r="BX26" s="181"/>
      <c r="BY26" s="181"/>
      <c r="BZ26" s="181"/>
      <c r="CA26" s="181"/>
      <c r="CC26" s="302" t="e">
        <f>$BT$11&amp;#REF!</f>
        <v>#REF!</v>
      </c>
      <c r="CD26" s="312" t="e">
        <f>#REF!</f>
        <v>#REF!</v>
      </c>
      <c r="CE26" s="754" t="e">
        <f>IF(OR(#REF!="",#REF!=0),0,101)</f>
        <v>#REF!</v>
      </c>
      <c r="CF26" s="754">
        <v>330</v>
      </c>
      <c r="CG26" s="761">
        <v>101</v>
      </c>
      <c r="CI26" s="298"/>
      <c r="CJ26" s="298"/>
    </row>
    <row r="27" spans="1:90" s="5" customFormat="1" ht="33.75" customHeight="1">
      <c r="A27" s="1958"/>
      <c r="B27" s="1958"/>
      <c r="C27" s="1958"/>
      <c r="D27" s="1958"/>
      <c r="E27" s="1958"/>
      <c r="F27" s="1958"/>
      <c r="G27" s="1958"/>
      <c r="H27" s="1958"/>
      <c r="I27" s="1958"/>
      <c r="J27" s="1958"/>
      <c r="K27" s="1958"/>
      <c r="L27" s="1958"/>
      <c r="M27" s="1958"/>
      <c r="N27" s="1958"/>
      <c r="O27" s="1958"/>
      <c r="P27" s="1958"/>
      <c r="Q27" s="1958"/>
      <c r="R27" s="1958"/>
      <c r="S27" s="1958"/>
      <c r="T27" s="1958"/>
      <c r="U27" s="1958"/>
      <c r="V27" s="1958"/>
      <c r="W27" s="1958"/>
      <c r="X27" s="1958"/>
      <c r="Y27" s="1958"/>
      <c r="Z27" s="1958"/>
      <c r="AA27" s="877"/>
      <c r="AB27" s="876"/>
      <c r="AC27" s="876"/>
      <c r="AD27" s="876"/>
      <c r="AE27" s="876"/>
      <c r="AF27" s="876"/>
      <c r="AG27" s="876"/>
      <c r="AH27" s="876"/>
      <c r="AI27" s="876"/>
      <c r="AJ27" s="876"/>
      <c r="AK27" s="876"/>
      <c r="AL27" s="876"/>
      <c r="AM27" s="876"/>
      <c r="AN27" s="876"/>
      <c r="AO27" s="876"/>
      <c r="AP27" s="876"/>
      <c r="AQ27" s="876"/>
      <c r="AR27" s="876"/>
      <c r="AS27" s="876"/>
      <c r="AT27" s="876"/>
      <c r="AU27" s="876"/>
      <c r="AV27" s="876"/>
      <c r="AW27" s="878"/>
      <c r="AX27" s="878"/>
      <c r="AY27" s="878"/>
      <c r="AZ27" s="878"/>
      <c r="BA27" s="83"/>
      <c r="BB27" s="84"/>
      <c r="BC27" s="382"/>
      <c r="BD27" s="86"/>
      <c r="BE27" s="87"/>
      <c r="BF27" s="197"/>
      <c r="BG27" s="147"/>
      <c r="BH27" s="146"/>
      <c r="BI27" s="147"/>
      <c r="BJ27" s="147"/>
      <c r="BK27" s="147"/>
      <c r="BL27" s="147"/>
      <c r="BM27" s="147"/>
      <c r="BN27" s="147"/>
      <c r="BO27" s="147"/>
      <c r="BP27" s="147"/>
      <c r="BQ27" s="147"/>
      <c r="BR27" s="151"/>
      <c r="BS27" s="152"/>
      <c r="BT27" s="170"/>
      <c r="BU27" s="170"/>
      <c r="BV27" s="170"/>
      <c r="BW27" s="176"/>
      <c r="BX27" s="181"/>
      <c r="BY27" s="181"/>
      <c r="BZ27" s="181"/>
      <c r="CA27" s="181"/>
      <c r="CC27" s="873"/>
      <c r="CD27" s="312"/>
      <c r="CE27" s="754"/>
      <c r="CF27" s="754"/>
      <c r="CG27" s="761"/>
      <c r="CI27" s="298"/>
      <c r="CJ27" s="298"/>
    </row>
    <row r="28" spans="1:90" s="157" customFormat="1" ht="20.100000000000001" customHeight="1" thickBot="1">
      <c r="A28" s="1967" t="s">
        <v>169</v>
      </c>
      <c r="B28" s="1967"/>
      <c r="C28" s="1967"/>
      <c r="D28" s="1967"/>
      <c r="E28" s="1967"/>
      <c r="F28" s="1967"/>
      <c r="G28" s="1967"/>
      <c r="H28" s="1967"/>
      <c r="I28" s="1967"/>
      <c r="J28" s="1967"/>
      <c r="K28" s="1967"/>
      <c r="L28" s="1967"/>
      <c r="M28" s="1967"/>
      <c r="N28" s="1967"/>
      <c r="O28" s="1967"/>
      <c r="P28" s="1967"/>
      <c r="Q28" s="1967"/>
      <c r="R28" s="1967"/>
      <c r="S28" s="1967"/>
      <c r="T28" s="1967"/>
      <c r="U28" s="1967"/>
      <c r="V28" s="150"/>
      <c r="W28" s="150"/>
      <c r="X28" s="150"/>
      <c r="Y28" s="150"/>
      <c r="Z28" s="898"/>
      <c r="AA28" s="1967" t="s">
        <v>169</v>
      </c>
      <c r="AB28" s="1967"/>
      <c r="AC28" s="1967"/>
      <c r="AD28" s="1967"/>
      <c r="AE28" s="1967"/>
      <c r="AF28" s="1967"/>
      <c r="AG28" s="1967"/>
      <c r="AH28" s="1967"/>
      <c r="AI28" s="1967"/>
      <c r="AJ28" s="1967"/>
      <c r="AK28" s="1967"/>
      <c r="AL28" s="1967"/>
      <c r="AM28" s="1967"/>
      <c r="AN28" s="1967"/>
      <c r="AO28" s="1967"/>
      <c r="AP28" s="1967"/>
      <c r="AQ28" s="1967"/>
      <c r="AR28" s="1967"/>
      <c r="AS28" s="1967"/>
      <c r="AT28" s="1967"/>
      <c r="AU28" s="1967"/>
      <c r="AV28" s="150"/>
      <c r="AW28" s="150"/>
      <c r="AX28" s="150"/>
      <c r="AY28" s="150"/>
      <c r="AZ28" s="898"/>
      <c r="BA28" s="353">
        <v>25</v>
      </c>
      <c r="BB28" s="84">
        <f t="shared" ref="BB28:BB53" si="16">COUNTA(H50:I50)</f>
        <v>0</v>
      </c>
      <c r="BC28" s="85">
        <f t="shared" ref="BC28:BC53" si="17">COUNTA(K50)</f>
        <v>0</v>
      </c>
      <c r="BD28" s="86">
        <f t="shared" ref="BD28:BE53" si="18">BB28-COUNTA(H50)</f>
        <v>0</v>
      </c>
      <c r="BE28" s="354">
        <f t="shared" si="18"/>
        <v>0</v>
      </c>
      <c r="BF28" s="196" t="s">
        <v>554</v>
      </c>
      <c r="BG28" s="147">
        <f>COUNTIF($K$13:$M$22,"特・療・精")</f>
        <v>0</v>
      </c>
      <c r="BH28" s="146">
        <f>COUNTIF($X$13:$Z$22,"特・療・精")</f>
        <v>0</v>
      </c>
      <c r="BI28" s="147">
        <f>COUNTIF($K$46:$M$75,"特・療・精")</f>
        <v>0</v>
      </c>
      <c r="BJ28" s="147">
        <f>COUNTIF($X$46:$Z$75,"特・療・精")</f>
        <v>0</v>
      </c>
      <c r="BK28" s="147">
        <f>COUNTIF($K$89:$M$118,"特・療・精")</f>
        <v>0</v>
      </c>
      <c r="BL28" s="147">
        <f>COUNTIF($X$89:$Z$118,"特・療・精")</f>
        <v>0</v>
      </c>
      <c r="BM28" s="147">
        <f>COUNTIF($K$132:$M$161,"特・療・精")</f>
        <v>0</v>
      </c>
      <c r="BN28" s="147">
        <f>COUNTIF($X$132:$Z$161,"特・療・精")</f>
        <v>0</v>
      </c>
      <c r="BO28" s="147">
        <f>COUNTIF($K$175:$M$204,"特・療・精")</f>
        <v>0</v>
      </c>
      <c r="BP28" s="147">
        <f>COUNTIF($X$175:$Z$204,"特・療・精")</f>
        <v>0</v>
      </c>
      <c r="BQ28" s="147">
        <f>COUNTIF($K$218:$M$247,"特・療・精")</f>
        <v>0</v>
      </c>
      <c r="BR28" s="151">
        <f>COUNTIF($X$218:$Z$247,"特・療・精")</f>
        <v>0</v>
      </c>
      <c r="BS28" s="152">
        <f>SUM(BG28:BR28)</f>
        <v>0</v>
      </c>
      <c r="BT28" s="170">
        <f>SUMIFS($H$13:$H$22,$J$13:$J$22,"小",$K$13:$K$22,"特・療・精")+SUMIFS($U$13:$U$22,$W$13:$W$22,"小",$X$13:$X$22,"特・療・精")+SUMIFS($H$46:$H$75,$J$46:$J$75,"小",$K$46:$K$75,"特・療・精")+SUMIFS($U$46:$U$75,$W$46:$W$75,"小",$X$46:$X$75,"特・療・精")+SUMIFS($H$89:$H$118,$J$89:$J$118,"小",$K$89:$K$118,"特・療・精")+SUMIFS($H$132:$H$161,$J$132:$J$161,"小",$K$132:$K$161,"特・療・精")+SUMIFS($H$175:$H$204,$J$175:$J$204,"小",$K$175:$K$204,"特・療・精")+SUMIFS($H$218:$H$247,$J$218:$J$247,"小",$K$218:$K$247,"特・療・精")+SUMIFS($U$89:$U$118,$W$89:$W$118,"小",$X$89:$X$118,"特・療・精")+SUMIFS($U$132:$U$161,$W$132:$W$161,"小",$X$132:$X$161,"特・療・精")+SUMIFS($U$175:$U$204,$W$175:$W$204,"小",$X$175:$X$204,"特・療・精")+SUMIFS($U$218:$U$247,$W$218:$W$247,"小",$X$218:$X$247,"特・療・精")</f>
        <v>0</v>
      </c>
      <c r="BU28" s="170">
        <f>SUMIFS($I$13:$I$22,$J$13:$J$22,"小",$K$13:$K$22,"特・療・精")+SUMIFS($V$13:$V$22,$W$13:$W$22,"小",$X$13:$X$22,"特・療・精")+SUMIFS($I$46:$I$75,$J$46:$J$75,"小",$K$46:$K$75,"特・療・精")+SUMIFS($V$46:$V$75,$W$46:$W$75,"小",$X$46:$X$75,"特・療・精")+SUMIFS($I$89:$I$118,$J$89:$J$118,"小",$K$89:$K$118,"特・療・精")+SUMIFS($I$132:$I$161,$J$132:$J$161,"小",$K$132:$K$161,"特・療・精")+SUMIFS($I$175:$I$204,$J$175:$J$204,"小",$K$175:$K$204,"特・療・精")+SUMIFS($I$218:$I$247,$J$218:$J$247,"小",$K$218:$K$247,"特・療・精")+SUMIFS($V$89:$V$118,$W$89:$W$118,"小",$X$89:$X$118,"特・療・精")+SUMIFS($V$132:$V$161,$W$132:$W$161,"小",$X$132:$X$161,"特・療・精")+SUMIFS($V$175:$V$204,$W$175:$W$204,"小",$X$175:$X$204,"特・療・精")+SUMIFS($V$218:$V$247,$W$218:$W$247,"小",$X$218:$X$247,"特・療・精")</f>
        <v>0</v>
      </c>
      <c r="BV28" s="170">
        <f>SUMIFS($H$13:$H$22,$J$13:$J$22,"中",$K$13:$K$22,"特・療・精")+SUMIFS($U$13:$U$22,$W$13:$W$22,"中",$X$13:$X$22,"特・療・精")+SUMIFS($H$46:$H$75,$J$46:$J$75,"中",$K$46:$K$75,"特・療・精")+SUMIFS($U$46:$U$75,$W$46:$W$75,"中",$X$46:$X$75,"特・療・精")+SUMIFS($H$89:$H$118,$J$89:$J$118,"中",$K$89:$K$118,"特・療・精")+SUMIFS($H$132:$H$161,$J$132:$J$161,"中",$K$132:$K$161,"特・療・精")+SUMIFS($H$175:$H$204,$J$175:$J$204,"中",$K$175:$K$204,"特・療・精")+SUMIFS($H$218:$H$247,$J$218:$J$247,"中",$K$218:$K$247,"特・療・精")+SUMIFS($U$89:$U$118,$W$89:$W$118,"中",$X$89:$X$118,"特・療・精")+SUMIFS($U$132:$U$161,$W$132:$W$161,"中",$X$132:$X$161,"特・療・精")+SUMIFS($U$175:$U$204,$W$175:$W$204,"中",$X$175:$X$204,"特・療・精")+SUMIFS($U$218:$U$247,$W$218:$W$247,"中",$X$218:$X$247,"特・療・精")</f>
        <v>0</v>
      </c>
      <c r="BW28" s="176">
        <f>SUMIFS($I$13:$I$22,$J$13:$J$22,"中",$K$13:$K$22,"特・療・精")+SUMIFS($V$13:$V$22,$W$13:$W$22,"中",$X$13:$X$22,"特・療・精")+SUMIFS($I$46:$I$75,$J$46:$J$75,"中",$K$46:$K$75,"特・療・精")+SUMIFS($V$46:$V$75,$W$46:$W$75,"中",$X$46:$X$75,"特・療・精")+SUMIFS($I$89:$I$118,$J$89:$J$118,"中",$K$89:$K$118,"特・療・精")+SUMIFS($I$132:$I$161,$J$132:$J$161,"中",$K$132:$K$161,"特・療・精")+SUMIFS($I$175:$I$204,$J$175:$J$204,"中",$K$175:$K$204,"特・療・精")+SUMIFS($I$218:$I$247,$J$218:$J$247,"中",$K$218:$K$247,"特・療・精")+SUMIFS($V$89:$V$118,$W$89:$W$118,"中",$X$89:$X$118,"特・療・精")+SUMIFS($V$132:$V$161,$W$132:$W$161,"中",$X$132:$X$161,"特・療・精")+SUMIFS($V$175:$V$204,$W$175:$W$204,"中",$X$175:$X$204,"特・療・精")+SUMIFS($V$218:$V$247,$W$218:$W$247,"中",$X$218:$X$247,"特・療・精")</f>
        <v>0</v>
      </c>
      <c r="BX28" s="181"/>
      <c r="BY28" s="181"/>
      <c r="BZ28" s="181"/>
      <c r="CA28" s="181"/>
      <c r="CC28" s="302" t="str">
        <f t="shared" ref="CC28:CC42" si="19">$BU$11&amp;BF12</f>
        <v>小日帰/準</v>
      </c>
      <c r="CD28" s="191">
        <f t="shared" ref="CD28:CD42" si="20">BU12</f>
        <v>0</v>
      </c>
      <c r="CE28" s="754">
        <f>IF(OR(BU12="",BU12=0),0,89)</f>
        <v>0</v>
      </c>
      <c r="CF28" s="754">
        <v>110</v>
      </c>
      <c r="CG28" s="760">
        <v>89</v>
      </c>
      <c r="CI28" s="299"/>
      <c r="CJ28" s="299"/>
    </row>
    <row r="29" spans="1:90" s="5" customFormat="1" ht="30" customHeight="1" thickBot="1">
      <c r="A29" s="1970" t="s">
        <v>543</v>
      </c>
      <c r="B29" s="1956" t="s">
        <v>3026</v>
      </c>
      <c r="C29" s="1957"/>
      <c r="D29" s="1956" t="s">
        <v>3027</v>
      </c>
      <c r="E29" s="1957"/>
      <c r="F29" s="1956" t="s">
        <v>3028</v>
      </c>
      <c r="G29" s="1957"/>
      <c r="H29" s="1940" t="s">
        <v>551</v>
      </c>
      <c r="I29" s="1941"/>
      <c r="J29" s="1940" t="s">
        <v>547</v>
      </c>
      <c r="K29" s="1941"/>
      <c r="L29" s="1940" t="s">
        <v>3013</v>
      </c>
      <c r="M29" s="1941"/>
      <c r="N29" s="1968" t="s">
        <v>3015</v>
      </c>
      <c r="O29" s="1969"/>
      <c r="P29" s="1972" t="s">
        <v>3016</v>
      </c>
      <c r="Q29" s="1973"/>
      <c r="R29" s="1944" t="s">
        <v>3020</v>
      </c>
      <c r="S29" s="1945"/>
      <c r="T29" s="1944" t="s">
        <v>3021</v>
      </c>
      <c r="U29" s="1945"/>
      <c r="V29" s="893"/>
      <c r="X29" s="511"/>
      <c r="Y29" s="511"/>
      <c r="AA29" s="1970" t="s">
        <v>543</v>
      </c>
      <c r="AB29" s="1956" t="s">
        <v>3026</v>
      </c>
      <c r="AC29" s="1957"/>
      <c r="AD29" s="1956" t="s">
        <v>3027</v>
      </c>
      <c r="AE29" s="1957"/>
      <c r="AF29" s="1956" t="s">
        <v>3028</v>
      </c>
      <c r="AG29" s="1957"/>
      <c r="AH29" s="1940" t="s">
        <v>551</v>
      </c>
      <c r="AI29" s="1941"/>
      <c r="AJ29" s="1940" t="s">
        <v>547</v>
      </c>
      <c r="AK29" s="1941"/>
      <c r="AL29" s="1940" t="s">
        <v>3013</v>
      </c>
      <c r="AM29" s="1941"/>
      <c r="AN29" s="1968" t="s">
        <v>3015</v>
      </c>
      <c r="AO29" s="1969"/>
      <c r="AP29" s="1972" t="s">
        <v>3016</v>
      </c>
      <c r="AQ29" s="1973"/>
      <c r="AR29" s="1944" t="s">
        <v>3020</v>
      </c>
      <c r="AS29" s="1945"/>
      <c r="AT29" s="1944" t="s">
        <v>3021</v>
      </c>
      <c r="AU29" s="1945"/>
      <c r="AV29" s="893"/>
      <c r="AX29" s="511"/>
      <c r="AY29" s="511"/>
      <c r="BA29" s="83">
        <v>26</v>
      </c>
      <c r="BB29" s="84">
        <f t="shared" si="16"/>
        <v>0</v>
      </c>
      <c r="BC29" s="85">
        <f t="shared" si="17"/>
        <v>0</v>
      </c>
      <c r="BD29" s="86">
        <f t="shared" si="18"/>
        <v>0</v>
      </c>
      <c r="BE29" s="86">
        <f t="shared" si="18"/>
        <v>0</v>
      </c>
      <c r="BF29" s="198"/>
      <c r="BG29" s="150"/>
      <c r="BH29" s="150"/>
      <c r="BI29" s="150"/>
      <c r="BJ29" s="150"/>
      <c r="BK29" s="150"/>
      <c r="BL29" s="150"/>
      <c r="BR29" s="154" t="s">
        <v>550</v>
      </c>
      <c r="BS29" s="153">
        <f>SUM(BS12:BS26)</f>
        <v>0</v>
      </c>
      <c r="BT29" s="171">
        <f>SUM(BT12:BT28)</f>
        <v>0</v>
      </c>
      <c r="BU29" s="171">
        <f>SUM(BU12:BU28)</f>
        <v>0</v>
      </c>
      <c r="BV29" s="171">
        <f>SUM(BV12:BV28)</f>
        <v>0</v>
      </c>
      <c r="BW29" s="177">
        <f>SUM(BW12:BW28)</f>
        <v>0</v>
      </c>
      <c r="BX29" s="191">
        <f>BX17</f>
        <v>0</v>
      </c>
      <c r="BY29" s="191">
        <f>BY17</f>
        <v>0</v>
      </c>
      <c r="BZ29" s="191">
        <f>BZ17</f>
        <v>0</v>
      </c>
      <c r="CA29" s="191">
        <f>CA17</f>
        <v>0</v>
      </c>
      <c r="CC29" s="302" t="str">
        <f t="shared" si="19"/>
        <v>小日帰/特</v>
      </c>
      <c r="CD29" s="191">
        <f t="shared" si="20"/>
        <v>0</v>
      </c>
      <c r="CE29" s="754">
        <f>IF(OR(BU13="",BU13=0),0,88)</f>
        <v>0</v>
      </c>
      <c r="CF29" s="754">
        <v>110</v>
      </c>
      <c r="CG29" s="760">
        <v>88</v>
      </c>
      <c r="CI29" s="298"/>
      <c r="CJ29" s="298"/>
    </row>
    <row r="30" spans="1:90" s="5" customFormat="1" ht="30" customHeight="1" thickBot="1">
      <c r="A30" s="1971"/>
      <c r="B30" s="1965" t="s">
        <v>3023</v>
      </c>
      <c r="C30" s="1966"/>
      <c r="D30" s="1965" t="s">
        <v>3024</v>
      </c>
      <c r="E30" s="1966"/>
      <c r="F30" s="1965" t="s">
        <v>3025</v>
      </c>
      <c r="G30" s="1966"/>
      <c r="H30" s="1974" t="s">
        <v>116</v>
      </c>
      <c r="I30" s="1975"/>
      <c r="J30" s="1974" t="s">
        <v>170</v>
      </c>
      <c r="K30" s="1975"/>
      <c r="L30" s="1965" t="s">
        <v>3014</v>
      </c>
      <c r="M30" s="1966"/>
      <c r="N30" s="1976" t="s">
        <v>3017</v>
      </c>
      <c r="O30" s="1977"/>
      <c r="P30" s="1946" t="s">
        <v>3018</v>
      </c>
      <c r="Q30" s="1947"/>
      <c r="R30" s="1946" t="s">
        <v>3019</v>
      </c>
      <c r="S30" s="1947"/>
      <c r="T30" s="1946" t="s">
        <v>3022</v>
      </c>
      <c r="U30" s="1947"/>
      <c r="V30" s="511"/>
      <c r="W30" s="515"/>
      <c r="X30" s="511"/>
      <c r="Y30" s="511"/>
      <c r="AA30" s="1971"/>
      <c r="AB30" s="1965" t="s">
        <v>3023</v>
      </c>
      <c r="AC30" s="1966"/>
      <c r="AD30" s="1965" t="s">
        <v>3024</v>
      </c>
      <c r="AE30" s="1966"/>
      <c r="AF30" s="1965" t="s">
        <v>3025</v>
      </c>
      <c r="AG30" s="1966"/>
      <c r="AH30" s="1974" t="s">
        <v>116</v>
      </c>
      <c r="AI30" s="1975"/>
      <c r="AJ30" s="1974" t="s">
        <v>170</v>
      </c>
      <c r="AK30" s="1975"/>
      <c r="AL30" s="1965" t="s">
        <v>3014</v>
      </c>
      <c r="AM30" s="1966"/>
      <c r="AN30" s="1976" t="s">
        <v>3017</v>
      </c>
      <c r="AO30" s="1977"/>
      <c r="AP30" s="1946" t="s">
        <v>3018</v>
      </c>
      <c r="AQ30" s="1947"/>
      <c r="AR30" s="1946" t="s">
        <v>3019</v>
      </c>
      <c r="AS30" s="1947"/>
      <c r="AT30" s="1946" t="s">
        <v>3022</v>
      </c>
      <c r="AU30" s="1947"/>
      <c r="AV30" s="511"/>
      <c r="AW30" s="515"/>
      <c r="AX30" s="511"/>
      <c r="AY30" s="511"/>
      <c r="BA30" s="83">
        <v>27</v>
      </c>
      <c r="BB30" s="84">
        <f t="shared" si="16"/>
        <v>0</v>
      </c>
      <c r="BC30" s="85">
        <f t="shared" si="17"/>
        <v>0</v>
      </c>
      <c r="BD30" s="86">
        <f t="shared" si="18"/>
        <v>0</v>
      </c>
      <c r="BE30" s="86">
        <f t="shared" si="18"/>
        <v>0</v>
      </c>
      <c r="BF30" s="194" t="s">
        <v>556</v>
      </c>
      <c r="BG30" s="192"/>
      <c r="BH30" s="192"/>
      <c r="BI30" s="192"/>
      <c r="BJ30" s="192"/>
      <c r="BK30" s="192"/>
      <c r="BL30" s="150"/>
      <c r="BS30" s="172" t="s">
        <v>555</v>
      </c>
      <c r="BT30" s="173">
        <f>BT29-(BT12+BT13+BT18)</f>
        <v>0</v>
      </c>
      <c r="BU30" s="173">
        <f>BU29-(BU12+BU13+BU18)</f>
        <v>0</v>
      </c>
      <c r="BV30" s="173">
        <f>BV29-(BV12+BV13+BV18)</f>
        <v>0</v>
      </c>
      <c r="BW30" s="178">
        <f>BW29-(BW12+BW13+BW18)</f>
        <v>0</v>
      </c>
      <c r="BX30" s="191">
        <f>BX17</f>
        <v>0</v>
      </c>
      <c r="BY30" s="191">
        <f>BY17</f>
        <v>0</v>
      </c>
      <c r="BZ30" s="191">
        <f>BZ17</f>
        <v>0</v>
      </c>
      <c r="CA30" s="191">
        <f>CA17</f>
        <v>0</v>
      </c>
      <c r="CC30" s="302" t="str">
        <f t="shared" si="19"/>
        <v>小日帰/身</v>
      </c>
      <c r="CD30" s="191">
        <f t="shared" si="20"/>
        <v>0</v>
      </c>
      <c r="CE30" s="754">
        <f>IF(OR(BU14="",BU14=0),0,87)</f>
        <v>0</v>
      </c>
      <c r="CF30" s="754">
        <v>110</v>
      </c>
      <c r="CG30" s="760">
        <v>87</v>
      </c>
      <c r="CI30" s="298"/>
      <c r="CJ30" s="298"/>
    </row>
    <row r="31" spans="1:90" s="5" customFormat="1" ht="13.5" customHeight="1" thickBot="1">
      <c r="A31" s="553"/>
      <c r="B31" s="874"/>
      <c r="C31" s="874"/>
      <c r="D31" s="874"/>
      <c r="E31" s="874"/>
      <c r="F31" s="874"/>
      <c r="G31" s="874"/>
      <c r="H31" s="870"/>
      <c r="I31" s="870"/>
      <c r="J31" s="870"/>
      <c r="K31" s="870"/>
      <c r="L31" s="870"/>
      <c r="M31" s="870"/>
      <c r="N31" s="874"/>
      <c r="O31" s="874"/>
      <c r="P31" s="874"/>
      <c r="Q31" s="874"/>
      <c r="R31" s="874"/>
      <c r="S31" s="874"/>
      <c r="T31" s="874"/>
      <c r="U31" s="874"/>
      <c r="V31" s="479"/>
      <c r="W31" s="554"/>
      <c r="X31" s="554"/>
      <c r="Y31" s="554"/>
      <c r="Z31" s="554"/>
      <c r="AA31" s="553"/>
      <c r="AB31" s="874"/>
      <c r="AC31" s="874"/>
      <c r="AD31" s="874"/>
      <c r="AE31" s="874"/>
      <c r="AF31" s="874"/>
      <c r="AG31" s="874"/>
      <c r="AH31" s="870"/>
      <c r="AI31" s="870"/>
      <c r="AJ31" s="870"/>
      <c r="AK31" s="870"/>
      <c r="AL31" s="870"/>
      <c r="AM31" s="870"/>
      <c r="AN31" s="874"/>
      <c r="AO31" s="874"/>
      <c r="AP31" s="874"/>
      <c r="AQ31" s="874"/>
      <c r="AR31" s="874"/>
      <c r="AS31" s="874"/>
      <c r="AT31" s="874"/>
      <c r="AU31" s="874"/>
      <c r="AV31" s="479"/>
      <c r="AW31" s="554"/>
      <c r="AX31" s="554"/>
      <c r="AY31" s="554"/>
      <c r="AZ31" s="554"/>
      <c r="BA31" s="83">
        <v>28</v>
      </c>
      <c r="BB31" s="84">
        <f t="shared" si="16"/>
        <v>0</v>
      </c>
      <c r="BC31" s="85">
        <f t="shared" si="17"/>
        <v>0</v>
      </c>
      <c r="BD31" s="86">
        <f t="shared" si="18"/>
        <v>0</v>
      </c>
      <c r="BE31" s="86">
        <f t="shared" si="18"/>
        <v>0</v>
      </c>
      <c r="BF31" s="160" t="str">
        <f t="shared" ref="BF31:BF40" si="21">I13&amp;J13&amp;K13</f>
        <v/>
      </c>
      <c r="BG31" s="199" t="str">
        <f t="shared" ref="BG31:BG40" si="22">V13&amp;W13&amp;X13</f>
        <v/>
      </c>
      <c r="BH31" s="160" t="str">
        <f t="shared" ref="BH31:BH60" si="23">I46&amp;J46&amp;K46</f>
        <v/>
      </c>
      <c r="BI31" s="160" t="str">
        <f>V46&amp;X46&amp;W46</f>
        <v/>
      </c>
      <c r="BJ31" s="192" t="str">
        <f>I89&amp;J89&amp;K89</f>
        <v/>
      </c>
      <c r="BK31" s="192" t="str">
        <f t="shared" ref="BK31:BK60" si="24">V89&amp;X89&amp;W89</f>
        <v/>
      </c>
      <c r="BL31" s="292" t="str">
        <f>I132&amp;J132&amp;K132</f>
        <v/>
      </c>
      <c r="BM31" s="292" t="str">
        <f>V132&amp;X132&amp;W132</f>
        <v/>
      </c>
      <c r="BN31" s="292" t="str">
        <f t="shared" ref="BN31:BN60" si="25">I175&amp;J175&amp;K175</f>
        <v/>
      </c>
      <c r="BO31" s="292" t="str">
        <f>V175&amp;X175&amp;W175</f>
        <v/>
      </c>
      <c r="BP31" s="292" t="str">
        <f>I218&amp;J218&amp;K218</f>
        <v/>
      </c>
      <c r="BQ31" s="292" t="str">
        <f>V218&amp;X218&amp;W218</f>
        <v/>
      </c>
      <c r="CC31" s="302" t="str">
        <f t="shared" si="19"/>
        <v>小日帰/療</v>
      </c>
      <c r="CD31" s="191">
        <f t="shared" si="20"/>
        <v>0</v>
      </c>
      <c r="CE31" s="754">
        <f>IF(OR(BU15="",BU15=0),0,86)</f>
        <v>0</v>
      </c>
      <c r="CF31" s="754">
        <v>110</v>
      </c>
      <c r="CG31" s="760">
        <v>86</v>
      </c>
      <c r="CI31" s="298"/>
      <c r="CJ31" s="298"/>
    </row>
    <row r="32" spans="1:90" s="5" customFormat="1" ht="24" customHeight="1" thickBot="1">
      <c r="A32" s="1948" t="s">
        <v>542</v>
      </c>
      <c r="B32" s="1951" t="s">
        <v>3104</v>
      </c>
      <c r="C32" s="1933"/>
      <c r="D32" s="1949"/>
      <c r="E32" s="1933" t="s">
        <v>3105</v>
      </c>
      <c r="F32" s="1933"/>
      <c r="G32" s="1933"/>
      <c r="H32" s="1934" t="s">
        <v>3009</v>
      </c>
      <c r="I32" s="1933"/>
      <c r="J32" s="1933"/>
      <c r="K32" s="1952" t="s">
        <v>520</v>
      </c>
      <c r="L32" s="1933"/>
      <c r="M32" s="1933"/>
      <c r="N32" s="1949" t="s">
        <v>521</v>
      </c>
      <c r="O32" s="1950"/>
      <c r="P32" s="1950"/>
      <c r="Q32" s="1949" t="s">
        <v>3011</v>
      </c>
      <c r="R32" s="1950"/>
      <c r="S32" s="1934"/>
      <c r="T32" s="1949" t="s">
        <v>522</v>
      </c>
      <c r="U32" s="1950"/>
      <c r="V32" s="1950"/>
      <c r="W32" s="1949" t="s">
        <v>3106</v>
      </c>
      <c r="X32" s="1950"/>
      <c r="Y32" s="1978"/>
      <c r="Z32" s="555"/>
      <c r="AA32" s="1948" t="s">
        <v>542</v>
      </c>
      <c r="AB32" s="1951" t="s">
        <v>3104</v>
      </c>
      <c r="AC32" s="1933"/>
      <c r="AD32" s="1949"/>
      <c r="AE32" s="1933" t="s">
        <v>3105</v>
      </c>
      <c r="AF32" s="1933"/>
      <c r="AG32" s="1933"/>
      <c r="AH32" s="1934" t="s">
        <v>3009</v>
      </c>
      <c r="AI32" s="1933"/>
      <c r="AJ32" s="1933"/>
      <c r="AK32" s="1952" t="s">
        <v>520</v>
      </c>
      <c r="AL32" s="1933"/>
      <c r="AM32" s="1933"/>
      <c r="AN32" s="1949" t="s">
        <v>521</v>
      </c>
      <c r="AO32" s="1950"/>
      <c r="AP32" s="1950"/>
      <c r="AQ32" s="1949" t="s">
        <v>3011</v>
      </c>
      <c r="AR32" s="1950"/>
      <c r="AS32" s="1934"/>
      <c r="AT32" s="1949" t="s">
        <v>522</v>
      </c>
      <c r="AU32" s="1950"/>
      <c r="AV32" s="1950"/>
      <c r="AW32" s="1949" t="s">
        <v>3106</v>
      </c>
      <c r="AX32" s="1950"/>
      <c r="AY32" s="1978"/>
      <c r="AZ32" s="555"/>
      <c r="BA32" s="83">
        <v>29</v>
      </c>
      <c r="BB32" s="84">
        <f t="shared" si="16"/>
        <v>0</v>
      </c>
      <c r="BC32" s="85">
        <f t="shared" si="17"/>
        <v>0</v>
      </c>
      <c r="BD32" s="86">
        <f t="shared" si="18"/>
        <v>0</v>
      </c>
      <c r="BE32" s="86">
        <f t="shared" si="18"/>
        <v>0</v>
      </c>
      <c r="BF32" s="160" t="str">
        <f t="shared" si="21"/>
        <v/>
      </c>
      <c r="BG32" s="199" t="str">
        <f t="shared" si="22"/>
        <v/>
      </c>
      <c r="BH32" s="160" t="str">
        <f t="shared" si="23"/>
        <v/>
      </c>
      <c r="BI32" s="160" t="str">
        <f t="shared" ref="BI32:BI60" si="26">V47&amp;X47&amp;W47</f>
        <v/>
      </c>
      <c r="BJ32" s="192" t="str">
        <f>I90&amp;J90&amp;K90</f>
        <v/>
      </c>
      <c r="BK32" s="192" t="str">
        <f t="shared" si="24"/>
        <v/>
      </c>
      <c r="BL32" s="292" t="str">
        <f t="shared" ref="BL32:BL60" si="27">I133&amp;J133&amp;K133</f>
        <v/>
      </c>
      <c r="BM32" s="292" t="str">
        <f t="shared" ref="BM32:BM60" si="28">V133&amp;X133&amp;W133</f>
        <v/>
      </c>
      <c r="BN32" s="292" t="str">
        <f t="shared" si="25"/>
        <v/>
      </c>
      <c r="BO32" s="292" t="str">
        <f t="shared" ref="BO32:BO60" si="29">V176&amp;X176&amp;W176</f>
        <v/>
      </c>
      <c r="BP32" s="292" t="str">
        <f t="shared" ref="BP32:BP60" si="30">I219&amp;J219&amp;K219</f>
        <v/>
      </c>
      <c r="BQ32" s="292" t="str">
        <f t="shared" ref="BQ32:BQ60" si="31">V219&amp;X219&amp;W219</f>
        <v/>
      </c>
      <c r="BS32" s="297"/>
      <c r="BT32" s="296" t="s">
        <v>1839</v>
      </c>
      <c r="BU32" s="296" t="s">
        <v>1838</v>
      </c>
      <c r="BV32" s="296" t="s">
        <v>1840</v>
      </c>
      <c r="BW32" s="296" t="s">
        <v>1841</v>
      </c>
      <c r="BX32" s="309" t="s">
        <v>1842</v>
      </c>
      <c r="BY32" s="309" t="s">
        <v>1843</v>
      </c>
      <c r="BZ32" s="309" t="s">
        <v>1844</v>
      </c>
      <c r="CA32" s="309" t="s">
        <v>1845</v>
      </c>
      <c r="CC32" s="302" t="str">
        <f t="shared" si="19"/>
        <v>小日帰/精</v>
      </c>
      <c r="CD32" s="191">
        <f t="shared" si="20"/>
        <v>0</v>
      </c>
      <c r="CE32" s="754">
        <f>IF(OR(BU16="",BU16=0),0,85)</f>
        <v>0</v>
      </c>
      <c r="CF32" s="754">
        <v>110</v>
      </c>
      <c r="CG32" s="760">
        <v>85</v>
      </c>
      <c r="CI32" s="298"/>
      <c r="CJ32" s="298"/>
    </row>
    <row r="33" spans="1:88" s="5" customFormat="1" ht="60" customHeight="1" thickBot="1">
      <c r="A33" s="1948"/>
      <c r="B33" s="1953" t="s">
        <v>3107</v>
      </c>
      <c r="C33" s="1936"/>
      <c r="D33" s="1936"/>
      <c r="E33" s="1935" t="s">
        <v>3108</v>
      </c>
      <c r="F33" s="1936"/>
      <c r="G33" s="1937"/>
      <c r="H33" s="1936" t="s">
        <v>3004</v>
      </c>
      <c r="I33" s="1936"/>
      <c r="J33" s="1937"/>
      <c r="K33" s="1935" t="s">
        <v>3005</v>
      </c>
      <c r="L33" s="1936"/>
      <c r="M33" s="1937"/>
      <c r="N33" s="1935" t="s">
        <v>3006</v>
      </c>
      <c r="O33" s="1936"/>
      <c r="P33" s="1937"/>
      <c r="Q33" s="1935" t="s">
        <v>3007</v>
      </c>
      <c r="R33" s="1936"/>
      <c r="S33" s="1937"/>
      <c r="T33" s="1935" t="s">
        <v>3012</v>
      </c>
      <c r="U33" s="1936"/>
      <c r="V33" s="1936"/>
      <c r="W33" s="1935" t="s">
        <v>3109</v>
      </c>
      <c r="X33" s="1936"/>
      <c r="Y33" s="1979"/>
      <c r="Z33" s="556"/>
      <c r="AA33" s="1948"/>
      <c r="AB33" s="1953" t="s">
        <v>3107</v>
      </c>
      <c r="AC33" s="1936"/>
      <c r="AD33" s="1936"/>
      <c r="AE33" s="1935" t="s">
        <v>3108</v>
      </c>
      <c r="AF33" s="1936"/>
      <c r="AG33" s="1937"/>
      <c r="AH33" s="1936" t="s">
        <v>3004</v>
      </c>
      <c r="AI33" s="1936"/>
      <c r="AJ33" s="1937"/>
      <c r="AK33" s="1935" t="s">
        <v>3005</v>
      </c>
      <c r="AL33" s="1936"/>
      <c r="AM33" s="1937"/>
      <c r="AN33" s="1935" t="s">
        <v>3006</v>
      </c>
      <c r="AO33" s="1936"/>
      <c r="AP33" s="1937"/>
      <c r="AQ33" s="1935" t="s">
        <v>3007</v>
      </c>
      <c r="AR33" s="1936"/>
      <c r="AS33" s="1937"/>
      <c r="AT33" s="1935" t="s">
        <v>3012</v>
      </c>
      <c r="AU33" s="1936"/>
      <c r="AV33" s="1936"/>
      <c r="AW33" s="1935" t="s">
        <v>3109</v>
      </c>
      <c r="AX33" s="1936"/>
      <c r="AY33" s="1979"/>
      <c r="AZ33" s="556"/>
      <c r="BA33" s="83">
        <v>30</v>
      </c>
      <c r="BB33" s="84">
        <f t="shared" si="16"/>
        <v>0</v>
      </c>
      <c r="BC33" s="85">
        <f t="shared" si="17"/>
        <v>0</v>
      </c>
      <c r="BD33" s="86">
        <f t="shared" si="18"/>
        <v>0</v>
      </c>
      <c r="BE33" s="86">
        <f t="shared" si="18"/>
        <v>0</v>
      </c>
      <c r="BF33" s="160" t="str">
        <f t="shared" si="21"/>
        <v/>
      </c>
      <c r="BG33" s="199" t="str">
        <f t="shared" si="22"/>
        <v/>
      </c>
      <c r="BH33" s="160" t="str">
        <f t="shared" si="23"/>
        <v/>
      </c>
      <c r="BI33" s="160" t="str">
        <f t="shared" si="26"/>
        <v/>
      </c>
      <c r="BJ33" s="192" t="str">
        <f t="shared" ref="BJ33:BJ60" si="32">I91&amp;J91&amp;K91</f>
        <v/>
      </c>
      <c r="BK33" s="192" t="str">
        <f t="shared" si="24"/>
        <v/>
      </c>
      <c r="BL33" s="292" t="str">
        <f t="shared" si="27"/>
        <v/>
      </c>
      <c r="BM33" s="292" t="str">
        <f t="shared" si="28"/>
        <v/>
      </c>
      <c r="BN33" s="292" t="str">
        <f t="shared" si="25"/>
        <v/>
      </c>
      <c r="BO33" s="292" t="str">
        <f t="shared" si="29"/>
        <v/>
      </c>
      <c r="BP33" s="292" t="str">
        <f t="shared" si="30"/>
        <v/>
      </c>
      <c r="BQ33" s="292" t="str">
        <f t="shared" si="31"/>
        <v/>
      </c>
      <c r="BS33" s="194" t="s">
        <v>515</v>
      </c>
      <c r="BT33" s="292"/>
      <c r="BU33" s="292">
        <f>IF(OR(BU12="",BU12=0),0,26)</f>
        <v>0</v>
      </c>
      <c r="BV33" s="292">
        <f>IF(OR(BV12="",BV12=0),0,26)</f>
        <v>0</v>
      </c>
      <c r="BW33" s="292">
        <f>IF(OR(BW12="",BW12=0),0,26)</f>
        <v>0</v>
      </c>
      <c r="BX33" s="292"/>
      <c r="BY33" s="292"/>
      <c r="BZ33" s="292"/>
      <c r="CA33" s="292"/>
      <c r="CC33" s="302" t="str">
        <f t="shared" si="19"/>
        <v>小日帰/介添</v>
      </c>
      <c r="CD33" s="191">
        <f t="shared" si="20"/>
        <v>0</v>
      </c>
      <c r="CE33" s="754">
        <f>IF(OR(BU17="",BU17=0),0,84)</f>
        <v>0</v>
      </c>
      <c r="CF33" s="754">
        <v>110</v>
      </c>
      <c r="CG33" s="760">
        <v>84</v>
      </c>
      <c r="CI33" s="298"/>
      <c r="CJ33" s="298"/>
    </row>
    <row r="34" spans="1:88" ht="23.25">
      <c r="A34" s="1324" t="s">
        <v>476</v>
      </c>
      <c r="B34" s="1324"/>
      <c r="C34" s="1324"/>
      <c r="D34" s="1324"/>
      <c r="E34" s="1324"/>
      <c r="F34" s="1324"/>
      <c r="G34" s="1324"/>
      <c r="H34" s="1324"/>
      <c r="I34" s="1324"/>
      <c r="J34" s="1324"/>
      <c r="K34" s="1324"/>
      <c r="L34" s="1324"/>
      <c r="M34" s="1324"/>
      <c r="N34" s="1324"/>
      <c r="O34" s="1324"/>
      <c r="P34" s="1324"/>
      <c r="Q34" s="1324"/>
      <c r="R34" s="1324"/>
      <c r="S34" s="1324"/>
      <c r="T34" s="1324"/>
      <c r="U34" s="1324"/>
      <c r="V34" s="1324"/>
      <c r="W34" s="1324"/>
      <c r="X34" s="1324"/>
      <c r="Y34" s="1324"/>
      <c r="Z34" s="1324"/>
      <c r="AA34" s="1938" t="s">
        <v>171</v>
      </c>
      <c r="AB34" s="1938"/>
      <c r="AC34" s="1938"/>
      <c r="AD34" s="1938"/>
      <c r="AE34" s="1938"/>
      <c r="AF34" s="1938"/>
      <c r="AG34" s="1938"/>
      <c r="AH34" s="1938"/>
      <c r="AI34" s="1938"/>
      <c r="AJ34" s="1938"/>
      <c r="AK34" s="1938"/>
      <c r="AL34" s="1938"/>
      <c r="AM34" s="1938"/>
      <c r="AN34" s="1938"/>
      <c r="AO34" s="1938"/>
      <c r="AP34" s="1938"/>
      <c r="AQ34" s="1938"/>
      <c r="AR34" s="1938"/>
      <c r="AS34" s="1938"/>
      <c r="AT34" s="1938"/>
      <c r="AU34" s="1938"/>
      <c r="AV34" s="1938"/>
      <c r="AW34" s="1938"/>
      <c r="AX34" s="1938"/>
      <c r="AY34" s="1938"/>
      <c r="AZ34" s="1938"/>
      <c r="BA34" s="83">
        <v>31</v>
      </c>
      <c r="BB34" s="84">
        <f t="shared" si="16"/>
        <v>0</v>
      </c>
      <c r="BC34" s="85">
        <f t="shared" si="17"/>
        <v>0</v>
      </c>
      <c r="BD34" s="86">
        <f t="shared" si="18"/>
        <v>0</v>
      </c>
      <c r="BE34" s="86">
        <f t="shared" si="18"/>
        <v>0</v>
      </c>
      <c r="BF34" s="160" t="str">
        <f t="shared" si="21"/>
        <v/>
      </c>
      <c r="BG34" s="199" t="str">
        <f t="shared" si="22"/>
        <v/>
      </c>
      <c r="BH34" s="160" t="str">
        <f t="shared" si="23"/>
        <v/>
      </c>
      <c r="BI34" s="160" t="str">
        <f t="shared" si="26"/>
        <v/>
      </c>
      <c r="BJ34" s="192" t="str">
        <f t="shared" si="32"/>
        <v/>
      </c>
      <c r="BK34" s="192" t="str">
        <f t="shared" si="24"/>
        <v/>
      </c>
      <c r="BL34" s="292" t="str">
        <f t="shared" si="27"/>
        <v/>
      </c>
      <c r="BM34" s="292" t="str">
        <f t="shared" si="28"/>
        <v/>
      </c>
      <c r="BN34" s="292" t="str">
        <f t="shared" si="25"/>
        <v/>
      </c>
      <c r="BO34" s="292" t="str">
        <f t="shared" si="29"/>
        <v/>
      </c>
      <c r="BP34" s="292" t="str">
        <f t="shared" si="30"/>
        <v/>
      </c>
      <c r="BQ34" s="292" t="str">
        <f t="shared" si="31"/>
        <v/>
      </c>
      <c r="BS34" s="194" t="s">
        <v>516</v>
      </c>
      <c r="BT34" s="292">
        <f>IF(OR(BT13="",BT13=0),0,25)</f>
        <v>0</v>
      </c>
      <c r="BU34" s="292">
        <f>IF(OR(BU13="",BU13=0),0,25)</f>
        <v>0</v>
      </c>
      <c r="BV34" s="292">
        <f>IF(OR(BV13="",BV13=0),0,25)</f>
        <v>0</v>
      </c>
      <c r="BW34" s="292">
        <f>IF(OR(BW13="",BW13=0),0,25)</f>
        <v>0</v>
      </c>
      <c r="BX34" s="192"/>
      <c r="BY34" s="192"/>
      <c r="BZ34" s="192"/>
      <c r="CA34" s="192"/>
      <c r="CC34" s="302" t="str">
        <f t="shared" si="19"/>
        <v>小日帰/準・特</v>
      </c>
      <c r="CD34" s="191">
        <f t="shared" si="20"/>
        <v>0</v>
      </c>
      <c r="CE34" s="754">
        <f>IF(OR(BU18="",BU18=0),0,83)</f>
        <v>0</v>
      </c>
      <c r="CF34" s="754">
        <v>110</v>
      </c>
      <c r="CG34" s="760">
        <v>83</v>
      </c>
    </row>
    <row r="35" spans="1:88" ht="24.95" customHeight="1" thickBot="1">
      <c r="A35" s="511">
        <f>COUNTIFS(K46:K75,"a",H46:H75,"&gt;0")</f>
        <v>0</v>
      </c>
      <c r="B35" s="511">
        <f>COUNTIFS(X46:X75,"a",U46:U75,"&gt;0")</f>
        <v>0</v>
      </c>
      <c r="C35" s="511">
        <f>COUNTIFS(K46:K75,"b",H46:H75,"&gt;0")</f>
        <v>0</v>
      </c>
      <c r="D35" s="511">
        <f>COUNTIFS(X46:X75,"b",U46:U75,"&gt;0")</f>
        <v>0</v>
      </c>
      <c r="E35" s="511">
        <f>COUNTIFS(K46:K75,"c",H46:H75,"&gt;0")</f>
        <v>0</v>
      </c>
      <c r="F35" s="511">
        <f>COUNTIFS(X46:X75,"c",U46:U75,"&gt;0")</f>
        <v>0</v>
      </c>
      <c r="G35" s="511">
        <f>COUNTIFS(K46:K75,"d",H46:H75,"&gt;0")</f>
        <v>0</v>
      </c>
      <c r="H35" s="511">
        <f>COUNTIFS(X46:X75,"d",U46:U75,"&gt;0")</f>
        <v>0</v>
      </c>
      <c r="I35" s="511">
        <f>COUNTIFS(K46:K75,"e",H46:H75,"&gt;0")</f>
        <v>0</v>
      </c>
      <c r="J35" s="511">
        <f>COUNTIFS(X46:X75,"e",U46:U75,"&gt;0")</f>
        <v>0</v>
      </c>
      <c r="K35" s="511">
        <f>COUNTIFS(K46:K75,"f",H46:H75,"&gt;0")</f>
        <v>0</v>
      </c>
      <c r="L35" s="511">
        <f>COUNTIFS(X46:X75,"f",U46:U75,"&gt;0")</f>
        <v>0</v>
      </c>
      <c r="M35" s="534">
        <f>COUNTIFS(K46:K75,"g",H46:H75,"&gt;0")</f>
        <v>0</v>
      </c>
      <c r="N35" s="534">
        <f>COUNTIFS(X46:X75,"g",U46:U75,"&gt;0")</f>
        <v>0</v>
      </c>
      <c r="O35" s="534">
        <f>COUNTIFS(K46:K75,"h",H46:H75,"&gt;0")</f>
        <v>0</v>
      </c>
      <c r="P35" s="534">
        <f>COUNTIFS(X46:X75,"h",U46:U75,"&gt;0")</f>
        <v>0</v>
      </c>
      <c r="Q35" s="534">
        <f>COUNTIFS(K46:K75,"i",H46:H75,"&gt;0")</f>
        <v>0</v>
      </c>
      <c r="R35" s="534">
        <f>COUNTIFS(X46:X75,"i",U46:U75,"&gt;0")</f>
        <v>0</v>
      </c>
      <c r="S35" s="535">
        <f>SUM(A35:R35)</f>
        <v>0</v>
      </c>
      <c r="T35" s="523"/>
      <c r="U35" s="523"/>
      <c r="V35" s="523"/>
      <c r="W35" s="1906" t="s">
        <v>477</v>
      </c>
      <c r="X35" s="1906"/>
      <c r="Y35" s="1906">
        <v>2</v>
      </c>
      <c r="Z35" s="1906"/>
      <c r="AA35" s="1938"/>
      <c r="AB35" s="1938"/>
      <c r="AC35" s="1938"/>
      <c r="AD35" s="1938"/>
      <c r="AE35" s="1938"/>
      <c r="AF35" s="1938"/>
      <c r="AG35" s="1938"/>
      <c r="AH35" s="1938"/>
      <c r="AI35" s="1938"/>
      <c r="AJ35" s="1938"/>
      <c r="AK35" s="1938"/>
      <c r="AL35" s="1938"/>
      <c r="AM35" s="1938"/>
      <c r="AN35" s="1938"/>
      <c r="AO35" s="1938"/>
      <c r="AP35" s="1938"/>
      <c r="AQ35" s="1938"/>
      <c r="AR35" s="1938"/>
      <c r="AS35" s="1938"/>
      <c r="AT35" s="1938"/>
      <c r="AU35" s="1938"/>
      <c r="AV35" s="1938"/>
      <c r="AW35" s="1938"/>
      <c r="AX35" s="1938"/>
      <c r="AY35" s="1938"/>
      <c r="AZ35" s="1938"/>
      <c r="BA35" s="83">
        <v>32</v>
      </c>
      <c r="BB35" s="84">
        <f t="shared" si="16"/>
        <v>0</v>
      </c>
      <c r="BC35" s="85">
        <f t="shared" si="17"/>
        <v>0</v>
      </c>
      <c r="BD35" s="86">
        <f t="shared" si="18"/>
        <v>0</v>
      </c>
      <c r="BE35" s="86">
        <f t="shared" si="18"/>
        <v>0</v>
      </c>
      <c r="BF35" s="160" t="str">
        <f t="shared" si="21"/>
        <v/>
      </c>
      <c r="BG35" s="199" t="str">
        <f t="shared" si="22"/>
        <v/>
      </c>
      <c r="BH35" s="160" t="str">
        <f t="shared" si="23"/>
        <v/>
      </c>
      <c r="BI35" s="160" t="str">
        <f t="shared" si="26"/>
        <v/>
      </c>
      <c r="BJ35" s="192" t="str">
        <f t="shared" si="32"/>
        <v/>
      </c>
      <c r="BK35" s="192" t="str">
        <f t="shared" si="24"/>
        <v/>
      </c>
      <c r="BL35" s="292" t="str">
        <f t="shared" si="27"/>
        <v/>
      </c>
      <c r="BM35" s="292" t="str">
        <f t="shared" si="28"/>
        <v/>
      </c>
      <c r="BN35" s="292" t="str">
        <f t="shared" si="25"/>
        <v/>
      </c>
      <c r="BO35" s="292" t="str">
        <f t="shared" si="29"/>
        <v/>
      </c>
      <c r="BP35" s="292" t="str">
        <f t="shared" si="30"/>
        <v/>
      </c>
      <c r="BQ35" s="292" t="str">
        <f t="shared" si="31"/>
        <v/>
      </c>
      <c r="BS35" s="193" t="s">
        <v>517</v>
      </c>
      <c r="BT35" s="292">
        <f>IF(OR(BT14="",BT14=0),0,24)</f>
        <v>0</v>
      </c>
      <c r="BU35" s="292">
        <f>IF(OR(BU14="",BU14=0),0,24)</f>
        <v>0</v>
      </c>
      <c r="BV35" s="292">
        <f>IF(OR(BV14="",BV14=0),0,24)</f>
        <v>0</v>
      </c>
      <c r="BW35" s="292">
        <f>IF(OR(BW14="",BW14=0),0,24)</f>
        <v>0</v>
      </c>
      <c r="BX35" s="192"/>
      <c r="BY35" s="192"/>
      <c r="BZ35" s="192"/>
      <c r="CA35" s="192"/>
      <c r="CC35" s="302" t="str">
        <f t="shared" si="19"/>
        <v>小日帰/準・身</v>
      </c>
      <c r="CD35" s="191">
        <f t="shared" si="20"/>
        <v>0</v>
      </c>
      <c r="CE35" s="754">
        <f>IF(OR(BU19="",BU19=0),0,82)</f>
        <v>0</v>
      </c>
      <c r="CF35" s="754">
        <v>110</v>
      </c>
      <c r="CG35" s="760">
        <v>82</v>
      </c>
    </row>
    <row r="36" spans="1:88" s="55" customFormat="1" ht="24" customHeight="1">
      <c r="A36" s="534">
        <f>COUNTIFS(K46:K75,"a",I46:I75,"&gt;0")</f>
        <v>0</v>
      </c>
      <c r="B36" s="534">
        <f>COUNTIFS(X46:X75,"a",V46:V75,"&gt;0")</f>
        <v>0</v>
      </c>
      <c r="C36" s="534">
        <f>COUNTIFS(K46:K75,"b",I46:I75,"&gt;0")</f>
        <v>0</v>
      </c>
      <c r="D36" s="534">
        <f>COUNTIFS(X46:X75,"b",V46:V75,"&gt;0")</f>
        <v>0</v>
      </c>
      <c r="E36" s="534">
        <f>COUNTIFS(K46:K75,"c",I46:I75,"&gt;0")</f>
        <v>0</v>
      </c>
      <c r="F36" s="534">
        <f>COUNTIFS(X46:X75,"c",V46:V75,"&gt;0")</f>
        <v>0</v>
      </c>
      <c r="G36" s="534">
        <f>COUNTIFS(K46:K75,"d",I46:I75,"&gt;0")</f>
        <v>0</v>
      </c>
      <c r="H36" s="534">
        <f>COUNTIFS(X46:X75,"d",V46:V75,"&gt;0")</f>
        <v>0</v>
      </c>
      <c r="I36" s="534">
        <f>COUNTIFS(K46:K75,"e",I46:I75,"&gt;0")</f>
        <v>0</v>
      </c>
      <c r="J36" s="534">
        <f>COUNTIFS(X46:X75,"e",V46:V75,"&gt;0")</f>
        <v>0</v>
      </c>
      <c r="K36" s="534">
        <f>COUNTIFS(K46:K75,"f",I46:I75,"&gt;0")</f>
        <v>0</v>
      </c>
      <c r="L36" s="534">
        <f>COUNTIFS(X46:X75,"f",V46:V75,"&gt;0")</f>
        <v>0</v>
      </c>
      <c r="M36" s="534">
        <f>COUNTIFS(K46:K75,"g",I46:I75,"&gt;0")</f>
        <v>0</v>
      </c>
      <c r="N36" s="534">
        <f>COUNTIFS(X46:X75,"g",V46:V75,"&gt;0")</f>
        <v>0</v>
      </c>
      <c r="O36" s="534">
        <f>COUNTIFS(K46:K75,"h",I46:I75,"&gt;0")</f>
        <v>0</v>
      </c>
      <c r="P36" s="534">
        <f>COUNTIFS(X46:X75,"h",V46:V75,"&gt;0")</f>
        <v>0</v>
      </c>
      <c r="Q36" s="534">
        <f>COUNTIFS(K46:K75,"i",I46:I75,"&gt;0")</f>
        <v>0</v>
      </c>
      <c r="R36" s="534">
        <f>COUNTIFS(X46:X75,"i",V46:V75,"&gt;0")</f>
        <v>0</v>
      </c>
      <c r="S36" s="535">
        <f>SUM(A36:R36)</f>
        <v>0</v>
      </c>
      <c r="T36" s="535"/>
      <c r="U36" s="535"/>
      <c r="V36" s="535"/>
      <c r="W36" s="557"/>
      <c r="X36" s="557"/>
      <c r="Y36" s="557"/>
      <c r="Z36" s="557"/>
      <c r="AA36" s="1938"/>
      <c r="AB36" s="1938"/>
      <c r="AC36" s="1938"/>
      <c r="AD36" s="1938"/>
      <c r="AE36" s="1938"/>
      <c r="AF36" s="1938"/>
      <c r="AG36" s="1938"/>
      <c r="AH36" s="1938"/>
      <c r="AI36" s="1938"/>
      <c r="AJ36" s="1938"/>
      <c r="AK36" s="1938"/>
      <c r="AL36" s="1938"/>
      <c r="AM36" s="1938"/>
      <c r="AN36" s="1938"/>
      <c r="AO36" s="1938"/>
      <c r="AP36" s="1938"/>
      <c r="AQ36" s="1938"/>
      <c r="AR36" s="1938"/>
      <c r="AS36" s="1938"/>
      <c r="AT36" s="1938"/>
      <c r="AU36" s="1938"/>
      <c r="AV36" s="1938"/>
      <c r="AW36" s="1938"/>
      <c r="AX36" s="1938"/>
      <c r="AY36" s="1938"/>
      <c r="AZ36" s="1938"/>
      <c r="BA36" s="83">
        <v>33</v>
      </c>
      <c r="BB36" s="84">
        <f t="shared" si="16"/>
        <v>0</v>
      </c>
      <c r="BC36" s="85">
        <f t="shared" si="17"/>
        <v>0</v>
      </c>
      <c r="BD36" s="86">
        <f t="shared" si="18"/>
        <v>0</v>
      </c>
      <c r="BE36" s="86">
        <f t="shared" si="18"/>
        <v>0</v>
      </c>
      <c r="BF36" s="160" t="str">
        <f t="shared" si="21"/>
        <v/>
      </c>
      <c r="BG36" s="199" t="str">
        <f t="shared" si="22"/>
        <v/>
      </c>
      <c r="BH36" s="160" t="str">
        <f t="shared" si="23"/>
        <v/>
      </c>
      <c r="BI36" s="160" t="str">
        <f t="shared" si="26"/>
        <v/>
      </c>
      <c r="BJ36" s="192" t="str">
        <f t="shared" si="32"/>
        <v/>
      </c>
      <c r="BK36" s="192" t="str">
        <f t="shared" si="24"/>
        <v/>
      </c>
      <c r="BL36" s="292" t="str">
        <f t="shared" si="27"/>
        <v/>
      </c>
      <c r="BM36" s="292" t="str">
        <f t="shared" si="28"/>
        <v/>
      </c>
      <c r="BN36" s="292" t="str">
        <f t="shared" si="25"/>
        <v/>
      </c>
      <c r="BO36" s="292" t="str">
        <f t="shared" si="29"/>
        <v/>
      </c>
      <c r="BP36" s="292" t="str">
        <f t="shared" si="30"/>
        <v/>
      </c>
      <c r="BQ36" s="292" t="str">
        <f t="shared" si="31"/>
        <v/>
      </c>
      <c r="BR36" s="77"/>
      <c r="BS36" s="193" t="s">
        <v>518</v>
      </c>
      <c r="BT36" s="292">
        <f>IF(OR(BT15="",BT15=0),0,23)</f>
        <v>0</v>
      </c>
      <c r="BU36" s="292">
        <f>IF(OR(BU15="",BU15=0),0,23)</f>
        <v>0</v>
      </c>
      <c r="BV36" s="292">
        <f>IF(OR(BV15="",BV15=0),0,23)</f>
        <v>0</v>
      </c>
      <c r="BW36" s="292">
        <f>IF(OR(BW15="",BW15=0),0,23)</f>
        <v>0</v>
      </c>
      <c r="BX36" s="192"/>
      <c r="BY36" s="192"/>
      <c r="BZ36" s="192"/>
      <c r="CA36" s="192"/>
      <c r="CC36" s="302" t="str">
        <f t="shared" si="19"/>
        <v>小日帰/準・療</v>
      </c>
      <c r="CD36" s="191">
        <f t="shared" si="20"/>
        <v>0</v>
      </c>
      <c r="CE36" s="754">
        <f>IF(OR(BU20="",BU20=0),0,81)</f>
        <v>0</v>
      </c>
      <c r="CF36" s="754">
        <v>110</v>
      </c>
      <c r="CG36" s="760">
        <v>81</v>
      </c>
      <c r="CI36" s="313"/>
      <c r="CJ36" s="313"/>
    </row>
    <row r="37" spans="1:88" ht="36" customHeight="1">
      <c r="A37" s="1902" t="s">
        <v>87</v>
      </c>
      <c r="B37" s="1902"/>
      <c r="C37" s="1903">
        <f>C4</f>
        <v>0</v>
      </c>
      <c r="D37" s="1903"/>
      <c r="E37" s="1903"/>
      <c r="F37" s="1903"/>
      <c r="G37" s="1903"/>
      <c r="H37" s="1903"/>
      <c r="I37" s="1903"/>
      <c r="J37" s="1903"/>
      <c r="K37" s="1903"/>
      <c r="L37" s="1903"/>
      <c r="M37" s="1903"/>
      <c r="N37" s="1903"/>
      <c r="O37" s="1903"/>
      <c r="P37" s="1903"/>
      <c r="Q37" s="1903"/>
      <c r="R37" s="1903"/>
      <c r="S37" s="1903"/>
      <c r="T37" s="1903"/>
      <c r="U37" s="522"/>
      <c r="V37" s="522"/>
      <c r="W37" s="522"/>
      <c r="X37" s="522"/>
      <c r="Y37" s="522"/>
      <c r="Z37" s="522"/>
      <c r="AA37" s="1938"/>
      <c r="AB37" s="1938"/>
      <c r="AC37" s="1938"/>
      <c r="AD37" s="1938"/>
      <c r="AE37" s="1938"/>
      <c r="AF37" s="1938"/>
      <c r="AG37" s="1938"/>
      <c r="AH37" s="1938"/>
      <c r="AI37" s="1938"/>
      <c r="AJ37" s="1938"/>
      <c r="AK37" s="1938"/>
      <c r="AL37" s="1938"/>
      <c r="AM37" s="1938"/>
      <c r="AN37" s="1938"/>
      <c r="AO37" s="1938"/>
      <c r="AP37" s="1938"/>
      <c r="AQ37" s="1938"/>
      <c r="AR37" s="1938"/>
      <c r="AS37" s="1938"/>
      <c r="AT37" s="1938"/>
      <c r="AU37" s="1938"/>
      <c r="AV37" s="1938"/>
      <c r="AW37" s="1938"/>
      <c r="AX37" s="1938"/>
      <c r="AY37" s="1938"/>
      <c r="AZ37" s="1938"/>
      <c r="BA37" s="83">
        <v>34</v>
      </c>
      <c r="BB37" s="84">
        <f t="shared" si="16"/>
        <v>0</v>
      </c>
      <c r="BC37" s="85">
        <f t="shared" si="17"/>
        <v>0</v>
      </c>
      <c r="BD37" s="86">
        <f t="shared" si="18"/>
        <v>0</v>
      </c>
      <c r="BE37" s="86">
        <f t="shared" si="18"/>
        <v>0</v>
      </c>
      <c r="BF37" s="160" t="str">
        <f t="shared" si="21"/>
        <v/>
      </c>
      <c r="BG37" s="199" t="str">
        <f t="shared" si="22"/>
        <v/>
      </c>
      <c r="BH37" s="160" t="str">
        <f t="shared" si="23"/>
        <v/>
      </c>
      <c r="BI37" s="160" t="str">
        <f t="shared" si="26"/>
        <v/>
      </c>
      <c r="BJ37" s="192" t="str">
        <f t="shared" si="32"/>
        <v/>
      </c>
      <c r="BK37" s="192" t="str">
        <f t="shared" si="24"/>
        <v/>
      </c>
      <c r="BL37" s="292" t="str">
        <f t="shared" si="27"/>
        <v/>
      </c>
      <c r="BM37" s="292" t="str">
        <f t="shared" si="28"/>
        <v/>
      </c>
      <c r="BN37" s="292" t="str">
        <f t="shared" si="25"/>
        <v/>
      </c>
      <c r="BO37" s="292" t="str">
        <f t="shared" si="29"/>
        <v/>
      </c>
      <c r="BP37" s="292" t="str">
        <f t="shared" si="30"/>
        <v/>
      </c>
      <c r="BQ37" s="292" t="str">
        <f t="shared" si="31"/>
        <v/>
      </c>
      <c r="BS37" s="193" t="s">
        <v>519</v>
      </c>
      <c r="BT37" s="292">
        <f>IF(OR(BT16="",BT16=0),0,22)</f>
        <v>0</v>
      </c>
      <c r="BU37" s="292">
        <f>IF(OR(BU16="",BU16=0),0,22)</f>
        <v>0</v>
      </c>
      <c r="BV37" s="292">
        <f>IF(OR(BV16="",BV16=0),0,22)</f>
        <v>0</v>
      </c>
      <c r="BW37" s="292">
        <f>IF(OR(BW16="",BW16=0),0,22)</f>
        <v>0</v>
      </c>
      <c r="BX37" s="192"/>
      <c r="BY37" s="192"/>
      <c r="BZ37" s="192"/>
      <c r="CA37" s="192"/>
      <c r="CC37" s="302" t="str">
        <f t="shared" si="19"/>
        <v>小日帰/準・精</v>
      </c>
      <c r="CD37" s="191">
        <f t="shared" si="20"/>
        <v>0</v>
      </c>
      <c r="CE37" s="754">
        <f>IF(OR(BU21="",BU21=0),0,80)</f>
        <v>0</v>
      </c>
      <c r="CF37" s="754">
        <v>110</v>
      </c>
      <c r="CG37" s="760">
        <v>80</v>
      </c>
    </row>
    <row r="38" spans="1:88" ht="15.95" customHeight="1">
      <c r="A38" s="1922" t="s">
        <v>86</v>
      </c>
      <c r="B38" s="1922"/>
      <c r="C38" s="1927">
        <f>C5</f>
        <v>0</v>
      </c>
      <c r="D38" s="1927"/>
      <c r="E38" s="1875" t="s">
        <v>18</v>
      </c>
      <c r="F38" s="1927">
        <f>F5</f>
        <v>0</v>
      </c>
      <c r="G38" s="1875" t="s">
        <v>17</v>
      </c>
      <c r="H38" s="1929">
        <f>H5</f>
        <v>0</v>
      </c>
      <c r="I38" s="1875" t="s">
        <v>16</v>
      </c>
      <c r="J38" s="1875" t="s">
        <v>478</v>
      </c>
      <c r="K38" s="1929">
        <f>K5</f>
        <v>0</v>
      </c>
      <c r="L38" s="1875" t="s">
        <v>464</v>
      </c>
      <c r="M38" s="1875" t="s">
        <v>479</v>
      </c>
      <c r="N38" s="1929">
        <f>N5</f>
        <v>0</v>
      </c>
      <c r="O38" s="1875" t="s">
        <v>17</v>
      </c>
      <c r="P38" s="1929">
        <f>P5</f>
        <v>0</v>
      </c>
      <c r="Q38" s="1875" t="s">
        <v>16</v>
      </c>
      <c r="R38" s="1875" t="s">
        <v>460</v>
      </c>
      <c r="S38" s="1929">
        <f>S5</f>
        <v>0</v>
      </c>
      <c r="T38" s="1875" t="s">
        <v>463</v>
      </c>
      <c r="U38" s="1875"/>
      <c r="V38" s="1875"/>
      <c r="W38" s="537">
        <f>W5</f>
        <v>0</v>
      </c>
      <c r="X38" s="511" t="s">
        <v>51</v>
      </c>
      <c r="Y38" s="537">
        <f>Y5</f>
        <v>0</v>
      </c>
      <c r="Z38" s="511" t="s">
        <v>16</v>
      </c>
      <c r="AA38" s="1939" t="s">
        <v>172</v>
      </c>
      <c r="AB38" s="1939"/>
      <c r="AC38" s="1939"/>
      <c r="AD38" s="1939"/>
      <c r="AE38" s="1939"/>
      <c r="AF38" s="1939"/>
      <c r="AG38" s="1939"/>
      <c r="AH38" s="1939"/>
      <c r="AI38" s="1939"/>
      <c r="AJ38" s="1939"/>
      <c r="AK38" s="1939"/>
      <c r="AL38" s="1939"/>
      <c r="AM38" s="1939"/>
      <c r="AN38" s="1939"/>
      <c r="AO38" s="1939"/>
      <c r="AP38" s="1939"/>
      <c r="AQ38" s="1939"/>
      <c r="AR38" s="1939"/>
      <c r="AS38" s="1939"/>
      <c r="AT38" s="1939"/>
      <c r="AU38" s="1939"/>
      <c r="AV38" s="1939"/>
      <c r="AW38" s="1939"/>
      <c r="AX38" s="1939"/>
      <c r="AY38" s="1939"/>
      <c r="AZ38" s="1939"/>
      <c r="BA38" s="83">
        <v>35</v>
      </c>
      <c r="BB38" s="84">
        <f t="shared" si="16"/>
        <v>0</v>
      </c>
      <c r="BC38" s="85">
        <f t="shared" si="17"/>
        <v>0</v>
      </c>
      <c r="BD38" s="86">
        <f t="shared" si="18"/>
        <v>0</v>
      </c>
      <c r="BE38" s="86">
        <f t="shared" si="18"/>
        <v>0</v>
      </c>
      <c r="BF38" s="160" t="str">
        <f t="shared" si="21"/>
        <v/>
      </c>
      <c r="BG38" s="199" t="str">
        <f t="shared" si="22"/>
        <v/>
      </c>
      <c r="BH38" s="160" t="str">
        <f t="shared" si="23"/>
        <v/>
      </c>
      <c r="BI38" s="160" t="str">
        <f t="shared" si="26"/>
        <v/>
      </c>
      <c r="BJ38" s="192" t="str">
        <f t="shared" si="32"/>
        <v/>
      </c>
      <c r="BK38" s="192" t="str">
        <f t="shared" si="24"/>
        <v/>
      </c>
      <c r="BL38" s="292" t="str">
        <f t="shared" si="27"/>
        <v/>
      </c>
      <c r="BM38" s="292" t="str">
        <f t="shared" si="28"/>
        <v/>
      </c>
      <c r="BN38" s="292" t="str">
        <f t="shared" si="25"/>
        <v/>
      </c>
      <c r="BO38" s="292" t="str">
        <f t="shared" si="29"/>
        <v/>
      </c>
      <c r="BP38" s="292" t="str">
        <f t="shared" si="30"/>
        <v/>
      </c>
      <c r="BQ38" s="292" t="str">
        <f t="shared" si="31"/>
        <v/>
      </c>
      <c r="BS38" s="195" t="s">
        <v>549</v>
      </c>
      <c r="BT38" s="292">
        <f>IF(OR(BT17="",BT17=0),0,21)</f>
        <v>0</v>
      </c>
      <c r="BU38" s="292">
        <f>IF(OR(BU17="",BU17=0),0,21)</f>
        <v>0</v>
      </c>
      <c r="BV38" s="292">
        <f>IF(OR(BV17="",BV17=0),0,21)</f>
        <v>0</v>
      </c>
      <c r="BW38" s="292">
        <f>IF(OR(BW17="",BW17=0),0,21)</f>
        <v>0</v>
      </c>
      <c r="BX38" s="192"/>
      <c r="BY38" s="192"/>
      <c r="BZ38" s="192"/>
      <c r="CA38" s="192"/>
      <c r="CC38" s="302" t="str">
        <f t="shared" si="19"/>
        <v>小日帰/特・身</v>
      </c>
      <c r="CD38" s="191">
        <f t="shared" si="20"/>
        <v>0</v>
      </c>
      <c r="CE38" s="754">
        <f>IF(OR(BU22="",BU22=0),0,79)</f>
        <v>0</v>
      </c>
      <c r="CF38" s="754">
        <v>110</v>
      </c>
      <c r="CG38" s="760">
        <v>79</v>
      </c>
    </row>
    <row r="39" spans="1:88" ht="15.95" customHeight="1">
      <c r="A39" s="1902"/>
      <c r="B39" s="1902"/>
      <c r="C39" s="1928"/>
      <c r="D39" s="1928"/>
      <c r="E39" s="1420"/>
      <c r="F39" s="1928"/>
      <c r="G39" s="1420"/>
      <c r="H39" s="1928"/>
      <c r="I39" s="1420"/>
      <c r="J39" s="1420"/>
      <c r="K39" s="1928"/>
      <c r="L39" s="1420"/>
      <c r="M39" s="1420"/>
      <c r="N39" s="1928"/>
      <c r="O39" s="1420"/>
      <c r="P39" s="1928"/>
      <c r="Q39" s="1420"/>
      <c r="R39" s="1420"/>
      <c r="S39" s="1928"/>
      <c r="T39" s="1420"/>
      <c r="U39" s="1875"/>
      <c r="V39" s="1875"/>
      <c r="W39" s="1875" t="s">
        <v>52</v>
      </c>
      <c r="X39" s="1875"/>
      <c r="Y39" s="539" t="str">
        <f>Y6</f>
        <v/>
      </c>
      <c r="Z39" s="511" t="s">
        <v>16</v>
      </c>
      <c r="AA39" s="1939"/>
      <c r="AB39" s="1939"/>
      <c r="AC39" s="1939"/>
      <c r="AD39" s="1939"/>
      <c r="AE39" s="1939"/>
      <c r="AF39" s="1939"/>
      <c r="AG39" s="1939"/>
      <c r="AH39" s="1939"/>
      <c r="AI39" s="1939"/>
      <c r="AJ39" s="1939"/>
      <c r="AK39" s="1939"/>
      <c r="AL39" s="1939"/>
      <c r="AM39" s="1939"/>
      <c r="AN39" s="1939"/>
      <c r="AO39" s="1939"/>
      <c r="AP39" s="1939"/>
      <c r="AQ39" s="1939"/>
      <c r="AR39" s="1939"/>
      <c r="AS39" s="1939"/>
      <c r="AT39" s="1939"/>
      <c r="AU39" s="1939"/>
      <c r="AV39" s="1939"/>
      <c r="AW39" s="1939"/>
      <c r="AX39" s="1939"/>
      <c r="AY39" s="1939"/>
      <c r="AZ39" s="1939"/>
      <c r="BA39" s="83">
        <v>36</v>
      </c>
      <c r="BB39" s="84">
        <f t="shared" si="16"/>
        <v>0</v>
      </c>
      <c r="BC39" s="85">
        <f t="shared" si="17"/>
        <v>0</v>
      </c>
      <c r="BD39" s="86">
        <f t="shared" si="18"/>
        <v>0</v>
      </c>
      <c r="BE39" s="86">
        <f t="shared" si="18"/>
        <v>0</v>
      </c>
      <c r="BF39" s="160" t="str">
        <f t="shared" si="21"/>
        <v/>
      </c>
      <c r="BG39" s="199" t="str">
        <f t="shared" si="22"/>
        <v/>
      </c>
      <c r="BH39" s="160" t="str">
        <f t="shared" si="23"/>
        <v/>
      </c>
      <c r="BI39" s="160" t="str">
        <f t="shared" si="26"/>
        <v/>
      </c>
      <c r="BJ39" s="192" t="str">
        <f t="shared" si="32"/>
        <v/>
      </c>
      <c r="BK39" s="192" t="str">
        <f t="shared" si="24"/>
        <v/>
      </c>
      <c r="BL39" s="292" t="str">
        <f t="shared" si="27"/>
        <v/>
      </c>
      <c r="BM39" s="292" t="str">
        <f t="shared" si="28"/>
        <v/>
      </c>
      <c r="BN39" s="292" t="str">
        <f t="shared" si="25"/>
        <v/>
      </c>
      <c r="BO39" s="292" t="str">
        <f t="shared" si="29"/>
        <v/>
      </c>
      <c r="BP39" s="292" t="str">
        <f t="shared" si="30"/>
        <v/>
      </c>
      <c r="BQ39" s="292" t="str">
        <f t="shared" si="31"/>
        <v/>
      </c>
      <c r="BS39" s="194" t="s">
        <v>523</v>
      </c>
      <c r="BT39" s="292">
        <f>IF(OR(BT18="",BT18=0),0,20)</f>
        <v>0</v>
      </c>
      <c r="BU39" s="292">
        <f>IF(OR(BU18="",BU18=0),0,20)</f>
        <v>0</v>
      </c>
      <c r="BV39" s="292">
        <f>IF(OR(BV18="",BV18=0),0,20)</f>
        <v>0</v>
      </c>
      <c r="BW39" s="292">
        <f>IF(OR(BW18="",BW18=0),0,20)</f>
        <v>0</v>
      </c>
      <c r="BX39" s="192"/>
      <c r="BY39" s="192"/>
      <c r="BZ39" s="192"/>
      <c r="CA39" s="192"/>
      <c r="CC39" s="302" t="str">
        <f t="shared" si="19"/>
        <v>小日帰/特・療</v>
      </c>
      <c r="CD39" s="191">
        <f t="shared" si="20"/>
        <v>0</v>
      </c>
      <c r="CE39" s="754">
        <f>IF(OR(BU23="",BU23=0),0,78)</f>
        <v>0</v>
      </c>
      <c r="CF39" s="754">
        <v>110</v>
      </c>
      <c r="CG39" s="760">
        <v>78</v>
      </c>
    </row>
    <row r="40" spans="1:88" ht="15" customHeight="1">
      <c r="A40" s="540"/>
      <c r="B40" s="540"/>
      <c r="C40" s="540"/>
      <c r="D40" s="540"/>
      <c r="E40" s="540"/>
      <c r="F40" s="540"/>
      <c r="G40" s="540"/>
      <c r="H40" s="540"/>
      <c r="I40" s="540"/>
      <c r="J40" s="540"/>
      <c r="K40" s="540"/>
      <c r="L40" s="540"/>
      <c r="M40" s="540"/>
      <c r="N40" s="540"/>
      <c r="O40" s="540"/>
      <c r="P40" s="540"/>
      <c r="Q40" s="540"/>
      <c r="R40" s="540"/>
      <c r="S40" s="540"/>
      <c r="T40" s="540"/>
      <c r="U40" s="541"/>
      <c r="V40" s="541"/>
      <c r="W40" s="541"/>
      <c r="X40" s="541"/>
      <c r="Y40" s="541"/>
      <c r="Z40" s="541"/>
      <c r="AA40" s="1939"/>
      <c r="AB40" s="1939"/>
      <c r="AC40" s="1939"/>
      <c r="AD40" s="1939"/>
      <c r="AE40" s="1939"/>
      <c r="AF40" s="1939"/>
      <c r="AG40" s="1939"/>
      <c r="AH40" s="1939"/>
      <c r="AI40" s="1939"/>
      <c r="AJ40" s="1939"/>
      <c r="AK40" s="1939"/>
      <c r="AL40" s="1939"/>
      <c r="AM40" s="1939"/>
      <c r="AN40" s="1939"/>
      <c r="AO40" s="1939"/>
      <c r="AP40" s="1939"/>
      <c r="AQ40" s="1939"/>
      <c r="AR40" s="1939"/>
      <c r="AS40" s="1939"/>
      <c r="AT40" s="1939"/>
      <c r="AU40" s="1939"/>
      <c r="AV40" s="1939"/>
      <c r="AW40" s="1939"/>
      <c r="AX40" s="1939"/>
      <c r="AY40" s="1939"/>
      <c r="AZ40" s="1939"/>
      <c r="BA40" s="83">
        <v>37</v>
      </c>
      <c r="BB40" s="84">
        <f t="shared" si="16"/>
        <v>0</v>
      </c>
      <c r="BC40" s="85">
        <f t="shared" si="17"/>
        <v>0</v>
      </c>
      <c r="BD40" s="86">
        <f t="shared" si="18"/>
        <v>0</v>
      </c>
      <c r="BE40" s="86">
        <f t="shared" si="18"/>
        <v>0</v>
      </c>
      <c r="BF40" s="160" t="str">
        <f t="shared" si="21"/>
        <v/>
      </c>
      <c r="BG40" s="199" t="str">
        <f t="shared" si="22"/>
        <v/>
      </c>
      <c r="BH40" s="160" t="str">
        <f t="shared" si="23"/>
        <v/>
      </c>
      <c r="BI40" s="160" t="str">
        <f t="shared" si="26"/>
        <v/>
      </c>
      <c r="BJ40" s="192" t="str">
        <f t="shared" si="32"/>
        <v/>
      </c>
      <c r="BK40" s="192" t="str">
        <f t="shared" si="24"/>
        <v/>
      </c>
      <c r="BL40" s="292" t="str">
        <f t="shared" si="27"/>
        <v/>
      </c>
      <c r="BM40" s="292" t="str">
        <f t="shared" si="28"/>
        <v/>
      </c>
      <c r="BN40" s="292" t="str">
        <f t="shared" si="25"/>
        <v/>
      </c>
      <c r="BO40" s="292" t="str">
        <f t="shared" si="29"/>
        <v/>
      </c>
      <c r="BP40" s="292" t="str">
        <f t="shared" si="30"/>
        <v/>
      </c>
      <c r="BQ40" s="292" t="str">
        <f t="shared" si="31"/>
        <v/>
      </c>
      <c r="BS40" s="193" t="s">
        <v>524</v>
      </c>
      <c r="BT40" s="292">
        <f>IF(OR(BT19="",BT19=0),0,19)</f>
        <v>0</v>
      </c>
      <c r="BU40" s="292">
        <f>IF(OR(BU19="",BU19=0),0,19)</f>
        <v>0</v>
      </c>
      <c r="BV40" s="292">
        <f>IF(OR(BV19="",BV19=0),0,19)</f>
        <v>0</v>
      </c>
      <c r="BW40" s="292">
        <f>IF(OR(BW19="",BW19=0),0,19)</f>
        <v>0</v>
      </c>
      <c r="BX40" s="192"/>
      <c r="BY40" s="192"/>
      <c r="BZ40" s="192"/>
      <c r="CA40" s="192"/>
      <c r="CC40" s="302" t="str">
        <f t="shared" si="19"/>
        <v>小日帰/特・精</v>
      </c>
      <c r="CD40" s="191">
        <f t="shared" si="20"/>
        <v>0</v>
      </c>
      <c r="CE40" s="754">
        <f>IF(OR(BU24="",BU24=0),0,77)</f>
        <v>0</v>
      </c>
      <c r="CF40" s="754">
        <v>110</v>
      </c>
      <c r="CG40" s="760">
        <v>77</v>
      </c>
    </row>
    <row r="41" spans="1:88" ht="13.5" customHeight="1">
      <c r="A41" s="1855" t="s">
        <v>480</v>
      </c>
      <c r="B41" s="1883" t="s">
        <v>166</v>
      </c>
      <c r="C41" s="1884"/>
      <c r="D41" s="1884"/>
      <c r="E41" s="1884"/>
      <c r="F41" s="1884"/>
      <c r="G41" s="1898"/>
      <c r="H41" s="1911" t="s">
        <v>167</v>
      </c>
      <c r="I41" s="1898"/>
      <c r="J41" s="1883" t="s">
        <v>168</v>
      </c>
      <c r="K41" s="1884"/>
      <c r="L41" s="1884"/>
      <c r="M41" s="1885"/>
      <c r="N41" s="1930" t="s">
        <v>480</v>
      </c>
      <c r="O41" s="1883" t="s">
        <v>166</v>
      </c>
      <c r="P41" s="1884"/>
      <c r="Q41" s="1884"/>
      <c r="R41" s="1884"/>
      <c r="S41" s="1884"/>
      <c r="T41" s="1898"/>
      <c r="U41" s="1911" t="s">
        <v>167</v>
      </c>
      <c r="V41" s="1898"/>
      <c r="W41" s="1883" t="s">
        <v>168</v>
      </c>
      <c r="X41" s="1884"/>
      <c r="Y41" s="1884"/>
      <c r="Z41" s="1898"/>
      <c r="AA41" s="1939"/>
      <c r="AB41" s="1939"/>
      <c r="AC41" s="1939"/>
      <c r="AD41" s="1939"/>
      <c r="AE41" s="1939"/>
      <c r="AF41" s="1939"/>
      <c r="AG41" s="1939"/>
      <c r="AH41" s="1939"/>
      <c r="AI41" s="1939"/>
      <c r="AJ41" s="1939"/>
      <c r="AK41" s="1939"/>
      <c r="AL41" s="1939"/>
      <c r="AM41" s="1939"/>
      <c r="AN41" s="1939"/>
      <c r="AO41" s="1939"/>
      <c r="AP41" s="1939"/>
      <c r="AQ41" s="1939"/>
      <c r="AR41" s="1939"/>
      <c r="AS41" s="1939"/>
      <c r="AT41" s="1939"/>
      <c r="AU41" s="1939"/>
      <c r="AV41" s="1939"/>
      <c r="AW41" s="1939"/>
      <c r="AX41" s="1939"/>
      <c r="AY41" s="1939"/>
      <c r="AZ41" s="1939"/>
      <c r="BA41" s="83">
        <v>38</v>
      </c>
      <c r="BB41" s="84">
        <f t="shared" si="16"/>
        <v>0</v>
      </c>
      <c r="BC41" s="85">
        <f t="shared" si="17"/>
        <v>0</v>
      </c>
      <c r="BD41" s="86">
        <f t="shared" si="18"/>
        <v>0</v>
      </c>
      <c r="BE41" s="86">
        <f t="shared" si="18"/>
        <v>0</v>
      </c>
      <c r="BF41" s="160"/>
      <c r="BG41" s="192"/>
      <c r="BH41" s="160" t="str">
        <f t="shared" si="23"/>
        <v/>
      </c>
      <c r="BI41" s="160" t="str">
        <f t="shared" si="26"/>
        <v/>
      </c>
      <c r="BJ41" s="192" t="str">
        <f t="shared" si="32"/>
        <v/>
      </c>
      <c r="BK41" s="192" t="str">
        <f t="shared" si="24"/>
        <v/>
      </c>
      <c r="BL41" s="292" t="str">
        <f t="shared" si="27"/>
        <v/>
      </c>
      <c r="BM41" s="292" t="str">
        <f t="shared" si="28"/>
        <v/>
      </c>
      <c r="BN41" s="292" t="str">
        <f t="shared" si="25"/>
        <v/>
      </c>
      <c r="BO41" s="292" t="str">
        <f t="shared" si="29"/>
        <v/>
      </c>
      <c r="BP41" s="292" t="str">
        <f t="shared" si="30"/>
        <v/>
      </c>
      <c r="BQ41" s="292" t="str">
        <f t="shared" si="31"/>
        <v/>
      </c>
      <c r="BS41" s="193" t="s">
        <v>525</v>
      </c>
      <c r="BT41" s="292">
        <f>IF(OR(BT20="",BT20=0),0,18)</f>
        <v>0</v>
      </c>
      <c r="BU41" s="292">
        <f>IF(OR(BU20="",BU20=0),0,18)</f>
        <v>0</v>
      </c>
      <c r="BV41" s="292">
        <f>IF(OR(BV20="",BV20=0),0,18)</f>
        <v>0</v>
      </c>
      <c r="BW41" s="292">
        <f>IF(OR(BW20="",BW20=0),0,18)</f>
        <v>0</v>
      </c>
      <c r="BX41" s="192"/>
      <c r="BY41" s="192"/>
      <c r="BZ41" s="192"/>
      <c r="CA41" s="192"/>
      <c r="CC41" s="302" t="str">
        <f t="shared" si="19"/>
        <v>小日帰/身・療</v>
      </c>
      <c r="CD41" s="191">
        <f t="shared" si="20"/>
        <v>0</v>
      </c>
      <c r="CE41" s="754">
        <f>IF(OR(BU25="",BU25=0),0,76)</f>
        <v>0</v>
      </c>
      <c r="CF41" s="754">
        <v>110</v>
      </c>
      <c r="CG41" s="760">
        <v>76</v>
      </c>
    </row>
    <row r="42" spans="1:88">
      <c r="A42" s="1855"/>
      <c r="B42" s="1913"/>
      <c r="C42" s="1914"/>
      <c r="D42" s="1914"/>
      <c r="E42" s="1914"/>
      <c r="F42" s="1914"/>
      <c r="G42" s="1915"/>
      <c r="H42" s="1886"/>
      <c r="I42" s="1899"/>
      <c r="J42" s="1886"/>
      <c r="K42" s="1887"/>
      <c r="L42" s="1887"/>
      <c r="M42" s="1888"/>
      <c r="N42" s="1931"/>
      <c r="O42" s="1913"/>
      <c r="P42" s="1914"/>
      <c r="Q42" s="1914"/>
      <c r="R42" s="1914"/>
      <c r="S42" s="1914"/>
      <c r="T42" s="1915"/>
      <c r="U42" s="1886"/>
      <c r="V42" s="1899"/>
      <c r="W42" s="1886"/>
      <c r="X42" s="1887"/>
      <c r="Y42" s="1887"/>
      <c r="Z42" s="1899"/>
      <c r="AA42" s="1939"/>
      <c r="AB42" s="1939"/>
      <c r="AC42" s="1939"/>
      <c r="AD42" s="1939"/>
      <c r="AE42" s="1939"/>
      <c r="AF42" s="1939"/>
      <c r="AG42" s="1939"/>
      <c r="AH42" s="1939"/>
      <c r="AI42" s="1939"/>
      <c r="AJ42" s="1939"/>
      <c r="AK42" s="1939"/>
      <c r="AL42" s="1939"/>
      <c r="AM42" s="1939"/>
      <c r="AN42" s="1939"/>
      <c r="AO42" s="1939"/>
      <c r="AP42" s="1939"/>
      <c r="AQ42" s="1939"/>
      <c r="AR42" s="1939"/>
      <c r="AS42" s="1939"/>
      <c r="AT42" s="1939"/>
      <c r="AU42" s="1939"/>
      <c r="AV42" s="1939"/>
      <c r="AW42" s="1939"/>
      <c r="AX42" s="1939"/>
      <c r="AY42" s="1939"/>
      <c r="AZ42" s="1939"/>
      <c r="BA42" s="83">
        <v>39</v>
      </c>
      <c r="BB42" s="84">
        <f t="shared" si="16"/>
        <v>0</v>
      </c>
      <c r="BC42" s="85">
        <f t="shared" si="17"/>
        <v>0</v>
      </c>
      <c r="BD42" s="86">
        <f t="shared" si="18"/>
        <v>0</v>
      </c>
      <c r="BE42" s="86">
        <f t="shared" si="18"/>
        <v>0</v>
      </c>
      <c r="BF42" s="160"/>
      <c r="BG42" s="192"/>
      <c r="BH42" s="160" t="str">
        <f t="shared" si="23"/>
        <v/>
      </c>
      <c r="BI42" s="160" t="str">
        <f t="shared" si="26"/>
        <v/>
      </c>
      <c r="BJ42" s="192" t="str">
        <f t="shared" si="32"/>
        <v/>
      </c>
      <c r="BK42" s="192" t="str">
        <f t="shared" si="24"/>
        <v/>
      </c>
      <c r="BL42" s="292" t="str">
        <f t="shared" si="27"/>
        <v/>
      </c>
      <c r="BM42" s="292" t="str">
        <f t="shared" si="28"/>
        <v/>
      </c>
      <c r="BN42" s="292" t="str">
        <f t="shared" si="25"/>
        <v/>
      </c>
      <c r="BO42" s="292" t="str">
        <f t="shared" si="29"/>
        <v/>
      </c>
      <c r="BP42" s="292" t="str">
        <f t="shared" si="30"/>
        <v/>
      </c>
      <c r="BQ42" s="292" t="str">
        <f t="shared" si="31"/>
        <v/>
      </c>
      <c r="BS42" s="193" t="s">
        <v>526</v>
      </c>
      <c r="BT42" s="292">
        <f>IF(OR(BT21="",BT21=0),0,17)</f>
        <v>0</v>
      </c>
      <c r="BU42" s="292">
        <f>IF(OR(BU21="",BU21=0),0,17)</f>
        <v>0</v>
      </c>
      <c r="BV42" s="292">
        <f>IF(OR(BV21="",BV21=0),0,17)</f>
        <v>0</v>
      </c>
      <c r="BW42" s="292">
        <f>IF(OR(BW21="",BW21=0),0,17)</f>
        <v>0</v>
      </c>
      <c r="BX42" s="192"/>
      <c r="BY42" s="192"/>
      <c r="BZ42" s="192"/>
      <c r="CA42" s="192"/>
      <c r="CC42" s="302" t="str">
        <f t="shared" si="19"/>
        <v>小日帰/身・精</v>
      </c>
      <c r="CD42" s="191">
        <f t="shared" si="20"/>
        <v>0</v>
      </c>
      <c r="CE42" s="754">
        <f>IF(OR(BU26="",BU26=0),0,75)</f>
        <v>0</v>
      </c>
      <c r="CF42" s="754">
        <v>110</v>
      </c>
      <c r="CG42" s="760">
        <v>75</v>
      </c>
    </row>
    <row r="43" spans="1:88" ht="26.1" customHeight="1">
      <c r="A43" s="1855"/>
      <c r="B43" s="1913"/>
      <c r="C43" s="1914"/>
      <c r="D43" s="1914"/>
      <c r="E43" s="1914"/>
      <c r="F43" s="1914"/>
      <c r="G43" s="1915"/>
      <c r="H43" s="1924" t="s">
        <v>53</v>
      </c>
      <c r="I43" s="1912" t="s">
        <v>52</v>
      </c>
      <c r="J43" s="1904" t="s">
        <v>543</v>
      </c>
      <c r="K43" s="1889" t="s">
        <v>542</v>
      </c>
      <c r="L43" s="1890"/>
      <c r="M43" s="1891"/>
      <c r="N43" s="1931"/>
      <c r="O43" s="1913"/>
      <c r="P43" s="1914"/>
      <c r="Q43" s="1914"/>
      <c r="R43" s="1914"/>
      <c r="S43" s="1914"/>
      <c r="T43" s="1915"/>
      <c r="U43" s="1924" t="s">
        <v>53</v>
      </c>
      <c r="V43" s="1912" t="s">
        <v>52</v>
      </c>
      <c r="W43" s="1904" t="s">
        <v>543</v>
      </c>
      <c r="X43" s="1889" t="s">
        <v>542</v>
      </c>
      <c r="Y43" s="1890"/>
      <c r="Z43" s="1900"/>
      <c r="AA43" s="1939"/>
      <c r="AB43" s="1939"/>
      <c r="AC43" s="1939"/>
      <c r="AD43" s="1939"/>
      <c r="AE43" s="1939"/>
      <c r="AF43" s="1939"/>
      <c r="AG43" s="1939"/>
      <c r="AH43" s="1939"/>
      <c r="AI43" s="1939"/>
      <c r="AJ43" s="1939"/>
      <c r="AK43" s="1939"/>
      <c r="AL43" s="1939"/>
      <c r="AM43" s="1939"/>
      <c r="AN43" s="1939"/>
      <c r="AO43" s="1939"/>
      <c r="AP43" s="1939"/>
      <c r="AQ43" s="1939"/>
      <c r="AR43" s="1939"/>
      <c r="AS43" s="1939"/>
      <c r="AT43" s="1939"/>
      <c r="AU43" s="1939"/>
      <c r="AV43" s="1939"/>
      <c r="AW43" s="1939"/>
      <c r="AX43" s="1939"/>
      <c r="AY43" s="1939"/>
      <c r="AZ43" s="1939"/>
      <c r="BA43" s="83">
        <v>40</v>
      </c>
      <c r="BB43" s="84">
        <f t="shared" si="16"/>
        <v>0</v>
      </c>
      <c r="BC43" s="85">
        <f t="shared" si="17"/>
        <v>0</v>
      </c>
      <c r="BD43" s="86">
        <f t="shared" si="18"/>
        <v>0</v>
      </c>
      <c r="BE43" s="86">
        <f t="shared" si="18"/>
        <v>0</v>
      </c>
      <c r="BF43" s="160"/>
      <c r="BG43" s="192"/>
      <c r="BH43" s="160" t="str">
        <f t="shared" si="23"/>
        <v/>
      </c>
      <c r="BI43" s="160" t="str">
        <f t="shared" si="26"/>
        <v/>
      </c>
      <c r="BJ43" s="192" t="str">
        <f t="shared" si="32"/>
        <v/>
      </c>
      <c r="BK43" s="192" t="str">
        <f t="shared" si="24"/>
        <v/>
      </c>
      <c r="BL43" s="292" t="str">
        <f t="shared" si="27"/>
        <v/>
      </c>
      <c r="BM43" s="292" t="str">
        <f t="shared" si="28"/>
        <v/>
      </c>
      <c r="BN43" s="292" t="str">
        <f t="shared" si="25"/>
        <v/>
      </c>
      <c r="BO43" s="292" t="str">
        <f t="shared" si="29"/>
        <v/>
      </c>
      <c r="BP43" s="292" t="str">
        <f t="shared" si="30"/>
        <v/>
      </c>
      <c r="BQ43" s="292" t="str">
        <f t="shared" si="31"/>
        <v/>
      </c>
      <c r="BS43" s="193" t="s">
        <v>527</v>
      </c>
      <c r="BT43" s="292">
        <f>IF(OR(BT22="",BT22=0),0,16)</f>
        <v>0</v>
      </c>
      <c r="BU43" s="292">
        <f>IF(OR(BU22="",BU22=0),0,16)</f>
        <v>0</v>
      </c>
      <c r="BV43" s="292">
        <f>IF(OR(BV22="",BV22=0),0,16)</f>
        <v>0</v>
      </c>
      <c r="BW43" s="292">
        <f>IF(OR(BW22="",BW22=0),0,16)</f>
        <v>0</v>
      </c>
      <c r="BX43" s="192"/>
      <c r="BY43" s="192"/>
      <c r="BZ43" s="192"/>
      <c r="CA43" s="192"/>
      <c r="CC43" s="302" t="e">
        <f>$BU$11&amp;#REF!</f>
        <v>#REF!</v>
      </c>
      <c r="CD43" s="191" t="e">
        <f>#REF!</f>
        <v>#REF!</v>
      </c>
      <c r="CE43" s="754" t="e">
        <f>IF(OR(#REF!="",#REF!=0),0,74)</f>
        <v>#REF!</v>
      </c>
      <c r="CF43" s="754">
        <v>110</v>
      </c>
      <c r="CG43" s="760">
        <v>74</v>
      </c>
    </row>
    <row r="44" spans="1:88" ht="26.1" customHeight="1">
      <c r="A44" s="1855"/>
      <c r="B44" s="1913"/>
      <c r="C44" s="1914"/>
      <c r="D44" s="1914"/>
      <c r="E44" s="1914"/>
      <c r="F44" s="1914"/>
      <c r="G44" s="1915"/>
      <c r="H44" s="1924"/>
      <c r="I44" s="1912"/>
      <c r="J44" s="1905"/>
      <c r="K44" s="1889"/>
      <c r="L44" s="1890"/>
      <c r="M44" s="1891"/>
      <c r="N44" s="1931"/>
      <c r="O44" s="1913"/>
      <c r="P44" s="1914"/>
      <c r="Q44" s="1914"/>
      <c r="R44" s="1914"/>
      <c r="S44" s="1914"/>
      <c r="T44" s="1915"/>
      <c r="U44" s="1924"/>
      <c r="V44" s="1912"/>
      <c r="W44" s="1905"/>
      <c r="X44" s="1889"/>
      <c r="Y44" s="1890"/>
      <c r="Z44" s="1900"/>
      <c r="AA44" s="1939"/>
      <c r="AB44" s="1939"/>
      <c r="AC44" s="1939"/>
      <c r="AD44" s="1939"/>
      <c r="AE44" s="1939"/>
      <c r="AF44" s="1939"/>
      <c r="AG44" s="1939"/>
      <c r="AH44" s="1939"/>
      <c r="AI44" s="1939"/>
      <c r="AJ44" s="1939"/>
      <c r="AK44" s="1939"/>
      <c r="AL44" s="1939"/>
      <c r="AM44" s="1939"/>
      <c r="AN44" s="1939"/>
      <c r="AO44" s="1939"/>
      <c r="AP44" s="1939"/>
      <c r="AQ44" s="1939"/>
      <c r="AR44" s="1939"/>
      <c r="AS44" s="1939"/>
      <c r="AT44" s="1939"/>
      <c r="AU44" s="1939"/>
      <c r="AV44" s="1939"/>
      <c r="AW44" s="1939"/>
      <c r="AX44" s="1939"/>
      <c r="AY44" s="1939"/>
      <c r="AZ44" s="1939"/>
      <c r="BA44" s="83">
        <v>41</v>
      </c>
      <c r="BB44" s="84">
        <f t="shared" si="16"/>
        <v>0</v>
      </c>
      <c r="BC44" s="85">
        <f t="shared" si="17"/>
        <v>0</v>
      </c>
      <c r="BD44" s="86">
        <f t="shared" si="18"/>
        <v>0</v>
      </c>
      <c r="BE44" s="86">
        <f t="shared" si="18"/>
        <v>0</v>
      </c>
      <c r="BF44" s="160"/>
      <c r="BG44" s="192"/>
      <c r="BH44" s="160" t="str">
        <f t="shared" si="23"/>
        <v/>
      </c>
      <c r="BI44" s="160" t="str">
        <f t="shared" si="26"/>
        <v/>
      </c>
      <c r="BJ44" s="192" t="str">
        <f t="shared" si="32"/>
        <v/>
      </c>
      <c r="BK44" s="192" t="str">
        <f t="shared" si="24"/>
        <v/>
      </c>
      <c r="BL44" s="292" t="str">
        <f t="shared" si="27"/>
        <v/>
      </c>
      <c r="BM44" s="292" t="str">
        <f t="shared" si="28"/>
        <v/>
      </c>
      <c r="BN44" s="292" t="str">
        <f t="shared" si="25"/>
        <v/>
      </c>
      <c r="BO44" s="292" t="str">
        <f t="shared" si="29"/>
        <v/>
      </c>
      <c r="BP44" s="292" t="str">
        <f t="shared" si="30"/>
        <v/>
      </c>
      <c r="BQ44" s="292" t="str">
        <f t="shared" si="31"/>
        <v/>
      </c>
      <c r="BS44" s="193" t="s">
        <v>528</v>
      </c>
      <c r="BT44" s="292">
        <f>IF(OR(BT23="",BT23=0),0,15)</f>
        <v>0</v>
      </c>
      <c r="BU44" s="292">
        <f>IF(OR(BU23="",BU23=0),0,15)</f>
        <v>0</v>
      </c>
      <c r="BV44" s="292">
        <f>IF(OR(BV23="",BV23=0),0,15)</f>
        <v>0</v>
      </c>
      <c r="BW44" s="292">
        <f>IF(OR(BW23="",BW23=0),0,15)</f>
        <v>0</v>
      </c>
      <c r="BX44" s="192"/>
      <c r="BY44" s="192"/>
      <c r="BZ44" s="192"/>
      <c r="CA44" s="192"/>
      <c r="CC44" s="302" t="e">
        <f>$BU$11&amp;#REF!</f>
        <v>#REF!</v>
      </c>
      <c r="CD44" s="191" t="e">
        <f>#REF!</f>
        <v>#REF!</v>
      </c>
      <c r="CE44" s="754" t="e">
        <f>IF(OR(#REF!="",#REF!=0),0,73)</f>
        <v>#REF!</v>
      </c>
      <c r="CF44" s="754">
        <v>110</v>
      </c>
      <c r="CG44" s="760">
        <v>73</v>
      </c>
    </row>
    <row r="45" spans="1:88" ht="26.1" customHeight="1">
      <c r="A45" s="1855"/>
      <c r="B45" s="1886"/>
      <c r="C45" s="1887"/>
      <c r="D45" s="1887"/>
      <c r="E45" s="1887"/>
      <c r="F45" s="1887"/>
      <c r="G45" s="1899"/>
      <c r="H45" s="1924"/>
      <c r="I45" s="1912"/>
      <c r="J45" s="1905"/>
      <c r="K45" s="1892"/>
      <c r="L45" s="1893"/>
      <c r="M45" s="1894"/>
      <c r="N45" s="1932"/>
      <c r="O45" s="1886"/>
      <c r="P45" s="1887"/>
      <c r="Q45" s="1887"/>
      <c r="R45" s="1887"/>
      <c r="S45" s="1887"/>
      <c r="T45" s="1899"/>
      <c r="U45" s="1924"/>
      <c r="V45" s="1912"/>
      <c r="W45" s="1905"/>
      <c r="X45" s="1892"/>
      <c r="Y45" s="1893"/>
      <c r="Z45" s="1901"/>
      <c r="AA45" s="1939"/>
      <c r="AB45" s="1939"/>
      <c r="AC45" s="1939"/>
      <c r="AD45" s="1939"/>
      <c r="AE45" s="1939"/>
      <c r="AF45" s="1939"/>
      <c r="AG45" s="1939"/>
      <c r="AH45" s="1939"/>
      <c r="AI45" s="1939"/>
      <c r="AJ45" s="1939"/>
      <c r="AK45" s="1939"/>
      <c r="AL45" s="1939"/>
      <c r="AM45" s="1939"/>
      <c r="AN45" s="1939"/>
      <c r="AO45" s="1939"/>
      <c r="AP45" s="1939"/>
      <c r="AQ45" s="1939"/>
      <c r="AR45" s="1939"/>
      <c r="AS45" s="1939"/>
      <c r="AT45" s="1939"/>
      <c r="AU45" s="1939"/>
      <c r="AV45" s="1939"/>
      <c r="AW45" s="1939"/>
      <c r="AX45" s="1939"/>
      <c r="AY45" s="1939"/>
      <c r="AZ45" s="1939"/>
      <c r="BA45" s="83">
        <v>42</v>
      </c>
      <c r="BB45" s="84">
        <f t="shared" si="16"/>
        <v>0</v>
      </c>
      <c r="BC45" s="85">
        <f t="shared" si="17"/>
        <v>0</v>
      </c>
      <c r="BD45" s="86">
        <f t="shared" si="18"/>
        <v>0</v>
      </c>
      <c r="BE45" s="86">
        <f t="shared" si="18"/>
        <v>0</v>
      </c>
      <c r="BF45" s="160"/>
      <c r="BG45" s="192"/>
      <c r="BH45" s="160" t="str">
        <f t="shared" si="23"/>
        <v/>
      </c>
      <c r="BI45" s="160" t="str">
        <f t="shared" si="26"/>
        <v/>
      </c>
      <c r="BJ45" s="192" t="str">
        <f t="shared" si="32"/>
        <v/>
      </c>
      <c r="BK45" s="192" t="str">
        <f t="shared" si="24"/>
        <v/>
      </c>
      <c r="BL45" s="292" t="str">
        <f t="shared" si="27"/>
        <v/>
      </c>
      <c r="BM45" s="292" t="str">
        <f t="shared" si="28"/>
        <v/>
      </c>
      <c r="BN45" s="292" t="str">
        <f t="shared" si="25"/>
        <v/>
      </c>
      <c r="BO45" s="292" t="str">
        <f t="shared" si="29"/>
        <v/>
      </c>
      <c r="BP45" s="292" t="str">
        <f t="shared" si="30"/>
        <v/>
      </c>
      <c r="BQ45" s="292" t="str">
        <f t="shared" si="31"/>
        <v/>
      </c>
      <c r="BS45" s="196" t="s">
        <v>529</v>
      </c>
      <c r="BT45" s="292">
        <f>IF(OR(BT24="",BT24=0),0,14)</f>
        <v>0</v>
      </c>
      <c r="BU45" s="292">
        <f>IF(OR(BU24="",BU24=0),0,14)</f>
        <v>0</v>
      </c>
      <c r="BV45" s="292">
        <f>IF(OR(BV24="",BV24=0),0,14)</f>
        <v>0</v>
      </c>
      <c r="BW45" s="292">
        <f>IF(OR(BW24="",BW24=0),0,14)</f>
        <v>0</v>
      </c>
      <c r="BX45" s="192"/>
      <c r="BY45" s="192"/>
      <c r="BZ45" s="192"/>
      <c r="CA45" s="192"/>
      <c r="CC45" s="302" t="e">
        <f>$BU$11&amp;#REF!</f>
        <v>#REF!</v>
      </c>
      <c r="CD45" s="191" t="e">
        <f>#REF!</f>
        <v>#REF!</v>
      </c>
      <c r="CE45" s="754" t="e">
        <f>IF(OR(#REF!="",#REF!=0),0,72)</f>
        <v>#REF!</v>
      </c>
      <c r="CF45" s="754">
        <v>110</v>
      </c>
      <c r="CG45" s="760">
        <v>72</v>
      </c>
    </row>
    <row r="46" spans="1:88" ht="24.75" customHeight="1">
      <c r="A46" s="542">
        <v>21</v>
      </c>
      <c r="B46" s="1920"/>
      <c r="C46" s="1908"/>
      <c r="D46" s="1908"/>
      <c r="E46" s="1908"/>
      <c r="F46" s="1908"/>
      <c r="G46" s="1909"/>
      <c r="H46" s="543"/>
      <c r="I46" s="544"/>
      <c r="J46" s="545"/>
      <c r="K46" s="928"/>
      <c r="L46" s="928"/>
      <c r="M46" s="928"/>
      <c r="N46" s="1085">
        <v>51</v>
      </c>
      <c r="O46" s="1907"/>
      <c r="P46" s="1908"/>
      <c r="Q46" s="1908"/>
      <c r="R46" s="1908"/>
      <c r="S46" s="1908"/>
      <c r="T46" s="1909"/>
      <c r="U46" s="543"/>
      <c r="V46" s="544"/>
      <c r="W46" s="545"/>
      <c r="X46" s="928"/>
      <c r="Y46" s="928"/>
      <c r="Z46" s="545"/>
      <c r="AA46" s="1939"/>
      <c r="AB46" s="1939"/>
      <c r="AC46" s="1939"/>
      <c r="AD46" s="1939"/>
      <c r="AE46" s="1939"/>
      <c r="AF46" s="1939"/>
      <c r="AG46" s="1939"/>
      <c r="AH46" s="1939"/>
      <c r="AI46" s="1939"/>
      <c r="AJ46" s="1939"/>
      <c r="AK46" s="1939"/>
      <c r="AL46" s="1939"/>
      <c r="AM46" s="1939"/>
      <c r="AN46" s="1939"/>
      <c r="AO46" s="1939"/>
      <c r="AP46" s="1939"/>
      <c r="AQ46" s="1939"/>
      <c r="AR46" s="1939"/>
      <c r="AS46" s="1939"/>
      <c r="AT46" s="1939"/>
      <c r="AU46" s="1939"/>
      <c r="AV46" s="1939"/>
      <c r="AW46" s="1939"/>
      <c r="AX46" s="1939"/>
      <c r="AY46" s="1939"/>
      <c r="AZ46" s="1939"/>
      <c r="BA46" s="83">
        <v>43</v>
      </c>
      <c r="BB46" s="84">
        <f t="shared" si="16"/>
        <v>0</v>
      </c>
      <c r="BC46" s="85">
        <f t="shared" si="17"/>
        <v>0</v>
      </c>
      <c r="BD46" s="86">
        <f t="shared" si="18"/>
        <v>0</v>
      </c>
      <c r="BE46" s="86">
        <f t="shared" si="18"/>
        <v>0</v>
      </c>
      <c r="BF46" s="160"/>
      <c r="BG46" s="192"/>
      <c r="BH46" s="160" t="str">
        <f t="shared" si="23"/>
        <v/>
      </c>
      <c r="BI46" s="160" t="str">
        <f t="shared" si="26"/>
        <v/>
      </c>
      <c r="BJ46" s="192" t="str">
        <f t="shared" si="32"/>
        <v/>
      </c>
      <c r="BK46" s="192" t="str">
        <f t="shared" si="24"/>
        <v/>
      </c>
      <c r="BL46" s="292" t="str">
        <f t="shared" si="27"/>
        <v/>
      </c>
      <c r="BM46" s="292" t="str">
        <f t="shared" si="28"/>
        <v/>
      </c>
      <c r="BN46" s="292" t="str">
        <f t="shared" si="25"/>
        <v/>
      </c>
      <c r="BO46" s="292" t="str">
        <f t="shared" si="29"/>
        <v/>
      </c>
      <c r="BP46" s="292" t="str">
        <f t="shared" si="30"/>
        <v/>
      </c>
      <c r="BQ46" s="292" t="str">
        <f t="shared" si="31"/>
        <v/>
      </c>
      <c r="BS46" s="196" t="s">
        <v>530</v>
      </c>
      <c r="BT46" s="292">
        <f>IF(OR(BT25="",BT25=0),0,13)</f>
        <v>0</v>
      </c>
      <c r="BU46" s="292">
        <f>IF(OR(BU25="",BU25=0),0,13)</f>
        <v>0</v>
      </c>
      <c r="BV46" s="292">
        <f>IF(OR(BV25="",BV25=0),0,13)</f>
        <v>0</v>
      </c>
      <c r="BW46" s="292">
        <f>IF(OR(BW25="",BW25=0),0,13)</f>
        <v>0</v>
      </c>
      <c r="BX46" s="192"/>
      <c r="BY46" s="192"/>
      <c r="BZ46" s="192"/>
      <c r="CA46" s="192"/>
      <c r="CC46" s="302" t="e">
        <f>$BU$11&amp;#REF!</f>
        <v>#REF!</v>
      </c>
      <c r="CD46" s="191" t="e">
        <f>#REF!</f>
        <v>#REF!</v>
      </c>
      <c r="CE46" s="754" t="e">
        <f>IF(OR(#REF!="",#REF!=0),0,71)</f>
        <v>#REF!</v>
      </c>
      <c r="CF46" s="754">
        <v>110</v>
      </c>
      <c r="CG46" s="760">
        <v>71</v>
      </c>
    </row>
    <row r="47" spans="1:88" ht="24.95" customHeight="1">
      <c r="A47" s="542">
        <v>22</v>
      </c>
      <c r="B47" s="1920"/>
      <c r="C47" s="1908"/>
      <c r="D47" s="1908"/>
      <c r="E47" s="1908"/>
      <c r="F47" s="1908"/>
      <c r="G47" s="1909"/>
      <c r="H47" s="543"/>
      <c r="I47" s="544"/>
      <c r="J47" s="545"/>
      <c r="K47" s="928"/>
      <c r="L47" s="928"/>
      <c r="M47" s="921"/>
      <c r="N47" s="894">
        <v>52</v>
      </c>
      <c r="O47" s="1920"/>
      <c r="P47" s="1908"/>
      <c r="Q47" s="1908"/>
      <c r="R47" s="1908"/>
      <c r="S47" s="1908"/>
      <c r="T47" s="1909"/>
      <c r="U47" s="543"/>
      <c r="V47" s="544"/>
      <c r="W47" s="545"/>
      <c r="X47" s="928"/>
      <c r="Y47" s="928"/>
      <c r="Z47" s="545"/>
      <c r="AA47" s="1939"/>
      <c r="AB47" s="1939"/>
      <c r="AC47" s="1939"/>
      <c r="AD47" s="1939"/>
      <c r="AE47" s="1939"/>
      <c r="AF47" s="1939"/>
      <c r="AG47" s="1939"/>
      <c r="AH47" s="1939"/>
      <c r="AI47" s="1939"/>
      <c r="AJ47" s="1939"/>
      <c r="AK47" s="1939"/>
      <c r="AL47" s="1939"/>
      <c r="AM47" s="1939"/>
      <c r="AN47" s="1939"/>
      <c r="AO47" s="1939"/>
      <c r="AP47" s="1939"/>
      <c r="AQ47" s="1939"/>
      <c r="AR47" s="1939"/>
      <c r="AS47" s="1939"/>
      <c r="AT47" s="1939"/>
      <c r="AU47" s="1939"/>
      <c r="AV47" s="1939"/>
      <c r="AW47" s="1939"/>
      <c r="AX47" s="1939"/>
      <c r="AY47" s="1939"/>
      <c r="AZ47" s="1939"/>
      <c r="BA47" s="83">
        <v>44</v>
      </c>
      <c r="BB47" s="84">
        <f t="shared" si="16"/>
        <v>0</v>
      </c>
      <c r="BC47" s="85">
        <f t="shared" si="17"/>
        <v>0</v>
      </c>
      <c r="BD47" s="86">
        <f t="shared" si="18"/>
        <v>0</v>
      </c>
      <c r="BE47" s="86">
        <f t="shared" si="18"/>
        <v>0</v>
      </c>
      <c r="BF47" s="160"/>
      <c r="BG47" s="192"/>
      <c r="BH47" s="160" t="str">
        <f t="shared" si="23"/>
        <v/>
      </c>
      <c r="BI47" s="160" t="str">
        <f t="shared" si="26"/>
        <v/>
      </c>
      <c r="BJ47" s="192" t="str">
        <f t="shared" si="32"/>
        <v/>
      </c>
      <c r="BK47" s="192" t="str">
        <f t="shared" si="24"/>
        <v/>
      </c>
      <c r="BL47" s="292" t="str">
        <f t="shared" si="27"/>
        <v/>
      </c>
      <c r="BM47" s="292" t="str">
        <f t="shared" si="28"/>
        <v/>
      </c>
      <c r="BN47" s="292" t="str">
        <f t="shared" si="25"/>
        <v/>
      </c>
      <c r="BO47" s="292" t="str">
        <f t="shared" si="29"/>
        <v/>
      </c>
      <c r="BP47" s="292" t="str">
        <f t="shared" si="30"/>
        <v/>
      </c>
      <c r="BQ47" s="292" t="str">
        <f t="shared" si="31"/>
        <v/>
      </c>
      <c r="BS47" s="197" t="s">
        <v>531</v>
      </c>
      <c r="BT47" s="292">
        <f>IF(OR(BT26="",BT26=0),0,12)</f>
        <v>0</v>
      </c>
      <c r="BU47" s="292">
        <f>IF(OR(BU26="",BU26=0),0,12)</f>
        <v>0</v>
      </c>
      <c r="BV47" s="292">
        <f>IF(OR(BV26="",BV26=0),0,12)</f>
        <v>0</v>
      </c>
      <c r="BW47" s="292">
        <f>IF(OR(BW26="",BW26=0),0,12)</f>
        <v>0</v>
      </c>
      <c r="BX47" s="192"/>
      <c r="BY47" s="192"/>
      <c r="BZ47" s="192"/>
      <c r="CA47" s="192"/>
      <c r="CC47" s="302" t="e">
        <f>$BU$11&amp;#REF!</f>
        <v>#REF!</v>
      </c>
      <c r="CD47" s="191" t="e">
        <f>#REF!</f>
        <v>#REF!</v>
      </c>
      <c r="CE47" s="754" t="e">
        <f>IF(OR(#REF!="",#REF!=0),0,70)</f>
        <v>#REF!</v>
      </c>
      <c r="CF47" s="754">
        <v>110</v>
      </c>
      <c r="CG47" s="760">
        <v>70</v>
      </c>
    </row>
    <row r="48" spans="1:88" ht="24.95" customHeight="1">
      <c r="A48" s="542">
        <v>23</v>
      </c>
      <c r="B48" s="1920"/>
      <c r="C48" s="1908"/>
      <c r="D48" s="1908"/>
      <c r="E48" s="1908"/>
      <c r="F48" s="1908"/>
      <c r="G48" s="1909"/>
      <c r="H48" s="543"/>
      <c r="I48" s="544"/>
      <c r="J48" s="545"/>
      <c r="K48" s="928"/>
      <c r="L48" s="928"/>
      <c r="M48" s="921"/>
      <c r="N48" s="894">
        <v>53</v>
      </c>
      <c r="O48" s="1920"/>
      <c r="P48" s="1908"/>
      <c r="Q48" s="1908"/>
      <c r="R48" s="1908"/>
      <c r="S48" s="1908"/>
      <c r="T48" s="1909"/>
      <c r="U48" s="543"/>
      <c r="V48" s="544"/>
      <c r="W48" s="545"/>
      <c r="X48" s="928"/>
      <c r="Y48" s="928"/>
      <c r="Z48" s="545"/>
      <c r="AA48" s="1939"/>
      <c r="AB48" s="1939"/>
      <c r="AC48" s="1939"/>
      <c r="AD48" s="1939"/>
      <c r="AE48" s="1939"/>
      <c r="AF48" s="1939"/>
      <c r="AG48" s="1939"/>
      <c r="AH48" s="1939"/>
      <c r="AI48" s="1939"/>
      <c r="AJ48" s="1939"/>
      <c r="AK48" s="1939"/>
      <c r="AL48" s="1939"/>
      <c r="AM48" s="1939"/>
      <c r="AN48" s="1939"/>
      <c r="AO48" s="1939"/>
      <c r="AP48" s="1939"/>
      <c r="AQ48" s="1939"/>
      <c r="AR48" s="1939"/>
      <c r="AS48" s="1939"/>
      <c r="AT48" s="1939"/>
      <c r="AU48" s="1939"/>
      <c r="AV48" s="1939"/>
      <c r="AW48" s="1939"/>
      <c r="AX48" s="1939"/>
      <c r="AY48" s="1939"/>
      <c r="AZ48" s="1939"/>
      <c r="BA48" s="83">
        <v>45</v>
      </c>
      <c r="BB48" s="84">
        <f t="shared" si="16"/>
        <v>0</v>
      </c>
      <c r="BC48" s="85">
        <f t="shared" si="17"/>
        <v>0</v>
      </c>
      <c r="BD48" s="86">
        <f t="shared" si="18"/>
        <v>0</v>
      </c>
      <c r="BE48" s="86">
        <f t="shared" si="18"/>
        <v>0</v>
      </c>
      <c r="BF48" s="160"/>
      <c r="BG48" s="192"/>
      <c r="BH48" s="160" t="str">
        <f t="shared" si="23"/>
        <v/>
      </c>
      <c r="BI48" s="160" t="str">
        <f t="shared" si="26"/>
        <v/>
      </c>
      <c r="BJ48" s="192" t="str">
        <f t="shared" si="32"/>
        <v/>
      </c>
      <c r="BK48" s="192" t="str">
        <f t="shared" si="24"/>
        <v/>
      </c>
      <c r="BL48" s="292" t="str">
        <f t="shared" si="27"/>
        <v/>
      </c>
      <c r="BM48" s="292" t="str">
        <f t="shared" si="28"/>
        <v/>
      </c>
      <c r="BN48" s="292" t="str">
        <f t="shared" si="25"/>
        <v/>
      </c>
      <c r="BO48" s="292" t="str">
        <f t="shared" si="29"/>
        <v/>
      </c>
      <c r="BP48" s="292" t="str">
        <f t="shared" si="30"/>
        <v/>
      </c>
      <c r="BQ48" s="292" t="str">
        <f t="shared" si="31"/>
        <v/>
      </c>
      <c r="BS48" s="197" t="s">
        <v>532</v>
      </c>
      <c r="BT48" s="292" t="e">
        <f>IF(OR(#REF!="",#REF!=0),0,11)</f>
        <v>#REF!</v>
      </c>
      <c r="BU48" s="292" t="e">
        <f>IF(OR(#REF!="",#REF!=0),0,11)</f>
        <v>#REF!</v>
      </c>
      <c r="BV48" s="292" t="e">
        <f>IF(OR(#REF!="",#REF!=0),0,11)</f>
        <v>#REF!</v>
      </c>
      <c r="BW48" s="292" t="e">
        <f>IF(OR(#REF!="",#REF!=0),0,11)</f>
        <v>#REF!</v>
      </c>
      <c r="BX48" s="192"/>
      <c r="BY48" s="192"/>
      <c r="BZ48" s="192"/>
      <c r="CA48" s="192"/>
      <c r="CC48" s="302" t="e">
        <f>$BU$11&amp;#REF!</f>
        <v>#REF!</v>
      </c>
      <c r="CD48" s="191" t="e">
        <f>#REF!</f>
        <v>#REF!</v>
      </c>
      <c r="CE48" s="754" t="e">
        <f>IF(OR(#REF!="",#REF!=0),0,69)</f>
        <v>#REF!</v>
      </c>
      <c r="CF48" s="754">
        <v>110</v>
      </c>
      <c r="CG48" s="760">
        <v>69</v>
      </c>
    </row>
    <row r="49" spans="1:85" ht="24.95" customHeight="1">
      <c r="A49" s="542">
        <v>24</v>
      </c>
      <c r="B49" s="1920"/>
      <c r="C49" s="1908"/>
      <c r="D49" s="1908"/>
      <c r="E49" s="1908"/>
      <c r="F49" s="1908"/>
      <c r="G49" s="1909"/>
      <c r="H49" s="543"/>
      <c r="I49" s="544"/>
      <c r="J49" s="545"/>
      <c r="K49" s="928"/>
      <c r="L49" s="928"/>
      <c r="M49" s="921"/>
      <c r="N49" s="894">
        <v>54</v>
      </c>
      <c r="O49" s="1920"/>
      <c r="P49" s="1908"/>
      <c r="Q49" s="1908"/>
      <c r="R49" s="1908"/>
      <c r="S49" s="1908"/>
      <c r="T49" s="1909"/>
      <c r="U49" s="543"/>
      <c r="V49" s="544"/>
      <c r="W49" s="545"/>
      <c r="X49" s="928"/>
      <c r="Y49" s="928"/>
      <c r="Z49" s="545"/>
      <c r="AA49" s="1939"/>
      <c r="AB49" s="1939"/>
      <c r="AC49" s="1939"/>
      <c r="AD49" s="1939"/>
      <c r="AE49" s="1939"/>
      <c r="AF49" s="1939"/>
      <c r="AG49" s="1939"/>
      <c r="AH49" s="1939"/>
      <c r="AI49" s="1939"/>
      <c r="AJ49" s="1939"/>
      <c r="AK49" s="1939"/>
      <c r="AL49" s="1939"/>
      <c r="AM49" s="1939"/>
      <c r="AN49" s="1939"/>
      <c r="AO49" s="1939"/>
      <c r="AP49" s="1939"/>
      <c r="AQ49" s="1939"/>
      <c r="AR49" s="1939"/>
      <c r="AS49" s="1939"/>
      <c r="AT49" s="1939"/>
      <c r="AU49" s="1939"/>
      <c r="AV49" s="1939"/>
      <c r="AW49" s="1939"/>
      <c r="AX49" s="1939"/>
      <c r="AY49" s="1939"/>
      <c r="AZ49" s="1939"/>
      <c r="BA49" s="83">
        <v>46</v>
      </c>
      <c r="BB49" s="84">
        <f t="shared" si="16"/>
        <v>0</v>
      </c>
      <c r="BC49" s="85">
        <f t="shared" si="17"/>
        <v>0</v>
      </c>
      <c r="BD49" s="86">
        <f t="shared" si="18"/>
        <v>0</v>
      </c>
      <c r="BE49" s="86">
        <f t="shared" si="18"/>
        <v>0</v>
      </c>
      <c r="BF49" s="160"/>
      <c r="BG49" s="192"/>
      <c r="BH49" s="160" t="str">
        <f t="shared" si="23"/>
        <v/>
      </c>
      <c r="BI49" s="160" t="str">
        <f t="shared" si="26"/>
        <v/>
      </c>
      <c r="BJ49" s="192" t="str">
        <f t="shared" si="32"/>
        <v/>
      </c>
      <c r="BK49" s="192" t="str">
        <f t="shared" si="24"/>
        <v/>
      </c>
      <c r="BL49" s="292" t="str">
        <f t="shared" si="27"/>
        <v/>
      </c>
      <c r="BM49" s="292" t="str">
        <f t="shared" si="28"/>
        <v/>
      </c>
      <c r="BN49" s="292" t="str">
        <f t="shared" si="25"/>
        <v/>
      </c>
      <c r="BO49" s="292" t="str">
        <f t="shared" si="29"/>
        <v/>
      </c>
      <c r="BP49" s="292" t="str">
        <f t="shared" si="30"/>
        <v/>
      </c>
      <c r="BQ49" s="292" t="str">
        <f t="shared" si="31"/>
        <v/>
      </c>
      <c r="BS49" s="197" t="s">
        <v>533</v>
      </c>
      <c r="BT49" s="292" t="e">
        <f>IF(OR(#REF!="",#REF!=0),0,10)</f>
        <v>#REF!</v>
      </c>
      <c r="BU49" s="292" t="e">
        <f>IF(OR(#REF!="",#REF!=0),0,10)</f>
        <v>#REF!</v>
      </c>
      <c r="BV49" s="292" t="e">
        <f>IF(OR(#REF!="",#REF!=0),0,10)</f>
        <v>#REF!</v>
      </c>
      <c r="BW49" s="292" t="e">
        <f>IF(OR(#REF!="",#REF!=0),0,10)</f>
        <v>#REF!</v>
      </c>
      <c r="BX49" s="192"/>
      <c r="BY49" s="192"/>
      <c r="BZ49" s="192"/>
      <c r="CA49" s="192"/>
      <c r="CC49" s="302" t="e">
        <f>$BU$11&amp;#REF!</f>
        <v>#REF!</v>
      </c>
      <c r="CD49" s="191" t="e">
        <f>#REF!</f>
        <v>#REF!</v>
      </c>
      <c r="CE49" s="754" t="e">
        <f>IF(OR(#REF!="",#REF!=0),0,68)</f>
        <v>#REF!</v>
      </c>
      <c r="CF49" s="754">
        <v>110</v>
      </c>
      <c r="CG49" s="760">
        <v>68</v>
      </c>
    </row>
    <row r="50" spans="1:85" ht="24.95" customHeight="1">
      <c r="A50" s="542">
        <v>25</v>
      </c>
      <c r="B50" s="1920"/>
      <c r="C50" s="1908"/>
      <c r="D50" s="1908"/>
      <c r="E50" s="1908"/>
      <c r="F50" s="1908"/>
      <c r="G50" s="1909"/>
      <c r="H50" s="543"/>
      <c r="I50" s="544"/>
      <c r="J50" s="545"/>
      <c r="K50" s="928"/>
      <c r="L50" s="928"/>
      <c r="M50" s="921"/>
      <c r="N50" s="894">
        <v>55</v>
      </c>
      <c r="O50" s="1920"/>
      <c r="P50" s="1908"/>
      <c r="Q50" s="1908"/>
      <c r="R50" s="1908"/>
      <c r="S50" s="1908"/>
      <c r="T50" s="1909"/>
      <c r="U50" s="543"/>
      <c r="V50" s="544"/>
      <c r="W50" s="545"/>
      <c r="X50" s="928"/>
      <c r="Y50" s="928"/>
      <c r="Z50" s="545"/>
      <c r="AA50" s="1939"/>
      <c r="AB50" s="1939"/>
      <c r="AC50" s="1939"/>
      <c r="AD50" s="1939"/>
      <c r="AE50" s="1939"/>
      <c r="AF50" s="1939"/>
      <c r="AG50" s="1939"/>
      <c r="AH50" s="1939"/>
      <c r="AI50" s="1939"/>
      <c r="AJ50" s="1939"/>
      <c r="AK50" s="1939"/>
      <c r="AL50" s="1939"/>
      <c r="AM50" s="1939"/>
      <c r="AN50" s="1939"/>
      <c r="AO50" s="1939"/>
      <c r="AP50" s="1939"/>
      <c r="AQ50" s="1939"/>
      <c r="AR50" s="1939"/>
      <c r="AS50" s="1939"/>
      <c r="AT50" s="1939"/>
      <c r="AU50" s="1939"/>
      <c r="AV50" s="1939"/>
      <c r="AW50" s="1939"/>
      <c r="AX50" s="1939"/>
      <c r="AY50" s="1939"/>
      <c r="AZ50" s="1939"/>
      <c r="BA50" s="83">
        <v>47</v>
      </c>
      <c r="BB50" s="84">
        <f t="shared" si="16"/>
        <v>0</v>
      </c>
      <c r="BC50" s="85">
        <f t="shared" si="17"/>
        <v>0</v>
      </c>
      <c r="BD50" s="86">
        <f t="shared" si="18"/>
        <v>0</v>
      </c>
      <c r="BE50" s="86">
        <f t="shared" si="18"/>
        <v>0</v>
      </c>
      <c r="BF50" s="160"/>
      <c r="BG50" s="192"/>
      <c r="BH50" s="160" t="str">
        <f t="shared" si="23"/>
        <v/>
      </c>
      <c r="BI50" s="160" t="str">
        <f t="shared" si="26"/>
        <v/>
      </c>
      <c r="BJ50" s="192" t="str">
        <f t="shared" si="32"/>
        <v/>
      </c>
      <c r="BK50" s="192" t="str">
        <f t="shared" si="24"/>
        <v/>
      </c>
      <c r="BL50" s="292" t="str">
        <f t="shared" si="27"/>
        <v/>
      </c>
      <c r="BM50" s="292" t="str">
        <f t="shared" si="28"/>
        <v/>
      </c>
      <c r="BN50" s="292" t="str">
        <f t="shared" si="25"/>
        <v/>
      </c>
      <c r="BO50" s="292" t="str">
        <f t="shared" si="29"/>
        <v/>
      </c>
      <c r="BP50" s="292" t="str">
        <f t="shared" si="30"/>
        <v/>
      </c>
      <c r="BQ50" s="292" t="str">
        <f t="shared" si="31"/>
        <v/>
      </c>
      <c r="BS50" s="197" t="s">
        <v>534</v>
      </c>
      <c r="BT50" s="292" t="e">
        <f>IF(OR(#REF!="",#REF!=0),0,9)</f>
        <v>#REF!</v>
      </c>
      <c r="BU50" s="292" t="e">
        <f>IF(OR(#REF!="",#REF!=0),0,9)</f>
        <v>#REF!</v>
      </c>
      <c r="BV50" s="292" t="e">
        <f>IF(OR(#REF!="",#REF!=0),0,9)</f>
        <v>#REF!</v>
      </c>
      <c r="BW50" s="292" t="e">
        <f>IF(OR(#REF!="",#REF!=0),0,9)</f>
        <v>#REF!</v>
      </c>
      <c r="BX50" s="192"/>
      <c r="BY50" s="192"/>
      <c r="BZ50" s="192"/>
      <c r="CA50" s="192"/>
      <c r="CC50" s="302" t="e">
        <f>$BU$11&amp;#REF!</f>
        <v>#REF!</v>
      </c>
      <c r="CD50" s="191" t="e">
        <f>#REF!</f>
        <v>#REF!</v>
      </c>
      <c r="CE50" s="754" t="e">
        <f>IF(OR(#REF!="",#REF!=0),0,67)</f>
        <v>#REF!</v>
      </c>
      <c r="CF50" s="754">
        <v>110</v>
      </c>
      <c r="CG50" s="760">
        <v>67</v>
      </c>
    </row>
    <row r="51" spans="1:85" ht="24.95" customHeight="1">
      <c r="A51" s="542">
        <v>26</v>
      </c>
      <c r="B51" s="1920"/>
      <c r="C51" s="1908"/>
      <c r="D51" s="1908"/>
      <c r="E51" s="1908"/>
      <c r="F51" s="1908"/>
      <c r="G51" s="1909"/>
      <c r="H51" s="543"/>
      <c r="I51" s="544"/>
      <c r="J51" s="545"/>
      <c r="K51" s="928"/>
      <c r="L51" s="928"/>
      <c r="M51" s="921"/>
      <c r="N51" s="894">
        <v>56</v>
      </c>
      <c r="O51" s="1920"/>
      <c r="P51" s="1908"/>
      <c r="Q51" s="1908"/>
      <c r="R51" s="1908"/>
      <c r="S51" s="1908"/>
      <c r="T51" s="1909"/>
      <c r="U51" s="543"/>
      <c r="V51" s="544"/>
      <c r="W51" s="545"/>
      <c r="X51" s="928"/>
      <c r="Y51" s="928"/>
      <c r="Z51" s="545"/>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83">
        <v>48</v>
      </c>
      <c r="BB51" s="84">
        <f t="shared" si="16"/>
        <v>0</v>
      </c>
      <c r="BC51" s="85">
        <f t="shared" si="17"/>
        <v>0</v>
      </c>
      <c r="BD51" s="86">
        <f t="shared" si="18"/>
        <v>0</v>
      </c>
      <c r="BE51" s="86">
        <f t="shared" si="18"/>
        <v>0</v>
      </c>
      <c r="BF51" s="160"/>
      <c r="BG51" s="192"/>
      <c r="BH51" s="160" t="str">
        <f t="shared" si="23"/>
        <v/>
      </c>
      <c r="BI51" s="160" t="str">
        <f t="shared" si="26"/>
        <v/>
      </c>
      <c r="BJ51" s="192" t="str">
        <f t="shared" si="32"/>
        <v/>
      </c>
      <c r="BK51" s="192" t="str">
        <f t="shared" si="24"/>
        <v/>
      </c>
      <c r="BL51" s="292" t="str">
        <f t="shared" si="27"/>
        <v/>
      </c>
      <c r="BM51" s="292" t="str">
        <f t="shared" si="28"/>
        <v/>
      </c>
      <c r="BN51" s="292" t="str">
        <f t="shared" si="25"/>
        <v/>
      </c>
      <c r="BO51" s="292" t="str">
        <f t="shared" si="29"/>
        <v/>
      </c>
      <c r="BP51" s="292" t="str">
        <f t="shared" si="30"/>
        <v/>
      </c>
      <c r="BQ51" s="292" t="str">
        <f t="shared" si="31"/>
        <v/>
      </c>
      <c r="BS51" s="197" t="s">
        <v>535</v>
      </c>
      <c r="BT51" s="292" t="e">
        <f>IF(OR(#REF!="",#REF!=0),0,8)</f>
        <v>#REF!</v>
      </c>
      <c r="BU51" s="292" t="e">
        <f>IF(OR(#REF!="",#REF!=0),0,8)</f>
        <v>#REF!</v>
      </c>
      <c r="BV51" s="292" t="e">
        <f>IF(OR(#REF!="",#REF!=0),0,8)</f>
        <v>#REF!</v>
      </c>
      <c r="BW51" s="292" t="e">
        <f>IF(OR(#REF!="",#REF!=0),0,8)</f>
        <v>#REF!</v>
      </c>
      <c r="BX51" s="192"/>
      <c r="BY51" s="192"/>
      <c r="BZ51" s="192"/>
      <c r="CA51" s="192"/>
      <c r="CC51" s="302" t="e">
        <f>$BU$11&amp;#REF!</f>
        <v>#REF!</v>
      </c>
      <c r="CD51" s="191" t="e">
        <f>#REF!</f>
        <v>#REF!</v>
      </c>
      <c r="CE51" s="754" t="e">
        <f>IF(OR(#REF!="",#REF!=0),0,66)</f>
        <v>#REF!</v>
      </c>
      <c r="CF51" s="754">
        <v>110</v>
      </c>
      <c r="CG51" s="760">
        <v>66</v>
      </c>
    </row>
    <row r="52" spans="1:85" ht="24.95" customHeight="1">
      <c r="A52" s="542">
        <v>27</v>
      </c>
      <c r="B52" s="1920"/>
      <c r="C52" s="1908"/>
      <c r="D52" s="1908"/>
      <c r="E52" s="1908"/>
      <c r="F52" s="1908"/>
      <c r="G52" s="1909"/>
      <c r="H52" s="543"/>
      <c r="I52" s="544"/>
      <c r="J52" s="545"/>
      <c r="K52" s="928"/>
      <c r="L52" s="928"/>
      <c r="M52" s="921"/>
      <c r="N52" s="894">
        <v>57</v>
      </c>
      <c r="O52" s="1920"/>
      <c r="P52" s="1908"/>
      <c r="Q52" s="1908"/>
      <c r="R52" s="1908"/>
      <c r="S52" s="1908"/>
      <c r="T52" s="1909"/>
      <c r="U52" s="543"/>
      <c r="V52" s="544"/>
      <c r="W52" s="545"/>
      <c r="X52" s="928"/>
      <c r="Y52" s="928"/>
      <c r="Z52" s="545"/>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83">
        <v>49</v>
      </c>
      <c r="BB52" s="84">
        <f t="shared" si="16"/>
        <v>0</v>
      </c>
      <c r="BC52" s="85">
        <f t="shared" si="17"/>
        <v>0</v>
      </c>
      <c r="BD52" s="86">
        <f t="shared" si="18"/>
        <v>0</v>
      </c>
      <c r="BE52" s="86">
        <f t="shared" si="18"/>
        <v>0</v>
      </c>
      <c r="BF52" s="160"/>
      <c r="BG52" s="192"/>
      <c r="BH52" s="160" t="str">
        <f t="shared" si="23"/>
        <v/>
      </c>
      <c r="BI52" s="160" t="str">
        <f t="shared" si="26"/>
        <v/>
      </c>
      <c r="BJ52" s="192" t="str">
        <f t="shared" si="32"/>
        <v/>
      </c>
      <c r="BK52" s="192" t="str">
        <f t="shared" si="24"/>
        <v/>
      </c>
      <c r="BL52" s="292" t="str">
        <f t="shared" si="27"/>
        <v/>
      </c>
      <c r="BM52" s="292" t="str">
        <f t="shared" si="28"/>
        <v/>
      </c>
      <c r="BN52" s="292" t="str">
        <f t="shared" si="25"/>
        <v/>
      </c>
      <c r="BO52" s="292" t="str">
        <f t="shared" si="29"/>
        <v/>
      </c>
      <c r="BP52" s="292" t="str">
        <f t="shared" si="30"/>
        <v/>
      </c>
      <c r="BQ52" s="292" t="str">
        <f t="shared" si="31"/>
        <v/>
      </c>
      <c r="BS52" s="197" t="s">
        <v>536</v>
      </c>
      <c r="BT52" s="292" t="e">
        <f>IF(OR(#REF!="",#REF!=0),0,7)</f>
        <v>#REF!</v>
      </c>
      <c r="BU52" s="292" t="e">
        <f>IF(OR(#REF!="",#REF!=0),0,7)</f>
        <v>#REF!</v>
      </c>
      <c r="BV52" s="292" t="e">
        <f>IF(OR(#REF!="",#REF!=0),0,7)</f>
        <v>#REF!</v>
      </c>
      <c r="BW52" s="292" t="e">
        <f>IF(OR(#REF!="",#REF!=0),0,7)</f>
        <v>#REF!</v>
      </c>
      <c r="BX52" s="192"/>
      <c r="BY52" s="192"/>
      <c r="BZ52" s="192"/>
      <c r="CA52" s="192"/>
      <c r="CC52" s="302" t="e">
        <f>$BU$11&amp;#REF!</f>
        <v>#REF!</v>
      </c>
      <c r="CD52" s="191" t="e">
        <f>#REF!</f>
        <v>#REF!</v>
      </c>
      <c r="CE52" s="754" t="e">
        <f>IF(OR(#REF!="",#REF!=0),0,65)</f>
        <v>#REF!</v>
      </c>
      <c r="CF52" s="754">
        <v>110</v>
      </c>
      <c r="CG52" s="760">
        <v>65</v>
      </c>
    </row>
    <row r="53" spans="1:85" ht="24.95" customHeight="1">
      <c r="A53" s="542">
        <v>28</v>
      </c>
      <c r="B53" s="1920"/>
      <c r="C53" s="1908"/>
      <c r="D53" s="1908"/>
      <c r="E53" s="1908"/>
      <c r="F53" s="1908"/>
      <c r="G53" s="1909"/>
      <c r="H53" s="543"/>
      <c r="I53" s="544"/>
      <c r="J53" s="545"/>
      <c r="K53" s="928"/>
      <c r="L53" s="928"/>
      <c r="M53" s="921"/>
      <c r="N53" s="894">
        <v>58</v>
      </c>
      <c r="O53" s="1920"/>
      <c r="P53" s="1908"/>
      <c r="Q53" s="1908"/>
      <c r="R53" s="1908"/>
      <c r="S53" s="1908"/>
      <c r="T53" s="1909"/>
      <c r="U53" s="543"/>
      <c r="V53" s="544"/>
      <c r="W53" s="545"/>
      <c r="X53" s="928"/>
      <c r="Y53" s="928"/>
      <c r="Z53" s="545"/>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83">
        <v>50</v>
      </c>
      <c r="BB53" s="84">
        <f t="shared" si="16"/>
        <v>0</v>
      </c>
      <c r="BC53" s="85">
        <f t="shared" si="17"/>
        <v>0</v>
      </c>
      <c r="BD53" s="86">
        <f t="shared" si="18"/>
        <v>0</v>
      </c>
      <c r="BE53" s="86">
        <f t="shared" si="18"/>
        <v>0</v>
      </c>
      <c r="BF53" s="160"/>
      <c r="BG53" s="192"/>
      <c r="BH53" s="160" t="str">
        <f t="shared" si="23"/>
        <v/>
      </c>
      <c r="BI53" s="160" t="str">
        <f t="shared" si="26"/>
        <v/>
      </c>
      <c r="BJ53" s="192" t="str">
        <f t="shared" si="32"/>
        <v/>
      </c>
      <c r="BK53" s="192" t="str">
        <f t="shared" si="24"/>
        <v/>
      </c>
      <c r="BL53" s="292" t="str">
        <f t="shared" si="27"/>
        <v/>
      </c>
      <c r="BM53" s="292" t="str">
        <f t="shared" si="28"/>
        <v/>
      </c>
      <c r="BN53" s="292" t="str">
        <f t="shared" si="25"/>
        <v/>
      </c>
      <c r="BO53" s="292" t="str">
        <f t="shared" si="29"/>
        <v/>
      </c>
      <c r="BP53" s="292" t="str">
        <f t="shared" si="30"/>
        <v/>
      </c>
      <c r="BQ53" s="292" t="str">
        <f t="shared" si="31"/>
        <v/>
      </c>
      <c r="BS53" s="196" t="s">
        <v>537</v>
      </c>
      <c r="BT53" s="292" t="e">
        <f>IF(OR(#REF!="",#REF!=0),0,6)</f>
        <v>#REF!</v>
      </c>
      <c r="BU53" s="292" t="e">
        <f>IF(OR(#REF!="",#REF!=0),0,6)</f>
        <v>#REF!</v>
      </c>
      <c r="BV53" s="292" t="e">
        <f>IF(OR(#REF!="",#REF!=0),0,6)</f>
        <v>#REF!</v>
      </c>
      <c r="BW53" s="292" t="e">
        <f>IF(OR(#REF!="",#REF!=0),0,6)</f>
        <v>#REF!</v>
      </c>
      <c r="BX53" s="192"/>
      <c r="BY53" s="192"/>
      <c r="BZ53" s="192"/>
      <c r="CA53" s="192"/>
      <c r="CC53" s="302" t="str">
        <f t="shared" ref="CC53" si="33">$BU$11&amp;BF28</f>
        <v>小日帰/特・療・精</v>
      </c>
      <c r="CD53" s="191">
        <f t="shared" ref="CD53" si="34">BU28</f>
        <v>0</v>
      </c>
      <c r="CE53" s="754">
        <f>IF(OR(BU28="",BU28=0),0,64)</f>
        <v>0</v>
      </c>
      <c r="CF53" s="754">
        <v>110</v>
      </c>
      <c r="CG53" s="760">
        <v>64</v>
      </c>
    </row>
    <row r="54" spans="1:85" ht="24.95" customHeight="1">
      <c r="A54" s="542">
        <v>29</v>
      </c>
      <c r="B54" s="1920"/>
      <c r="C54" s="1908"/>
      <c r="D54" s="1908"/>
      <c r="E54" s="1908"/>
      <c r="F54" s="1908"/>
      <c r="G54" s="1909"/>
      <c r="H54" s="543"/>
      <c r="I54" s="544"/>
      <c r="J54" s="545"/>
      <c r="K54" s="928"/>
      <c r="L54" s="928"/>
      <c r="M54" s="921"/>
      <c r="N54" s="894">
        <v>59</v>
      </c>
      <c r="O54" s="1920"/>
      <c r="P54" s="1908"/>
      <c r="Q54" s="1908"/>
      <c r="R54" s="1908"/>
      <c r="S54" s="1908"/>
      <c r="T54" s="1909"/>
      <c r="U54" s="543"/>
      <c r="V54" s="544"/>
      <c r="W54" s="545"/>
      <c r="X54" s="928"/>
      <c r="Y54" s="928"/>
      <c r="Z54" s="545"/>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83">
        <v>51</v>
      </c>
      <c r="BB54" s="84">
        <f t="shared" ref="BB54:BB83" si="35">COUNTA(U46:V46)</f>
        <v>0</v>
      </c>
      <c r="BC54" s="85">
        <f t="shared" ref="BC54:BC83" si="36">COUNTA(X46)</f>
        <v>0</v>
      </c>
      <c r="BD54" s="86">
        <f t="shared" ref="BD54:BE83" si="37">BB54-COUNTA(U46)</f>
        <v>0</v>
      </c>
      <c r="BE54" s="86">
        <f t="shared" si="37"/>
        <v>0</v>
      </c>
      <c r="BF54" s="160"/>
      <c r="BG54" s="192"/>
      <c r="BH54" s="160" t="str">
        <f t="shared" si="23"/>
        <v/>
      </c>
      <c r="BI54" s="160" t="str">
        <f t="shared" si="26"/>
        <v/>
      </c>
      <c r="BJ54" s="192" t="str">
        <f t="shared" si="32"/>
        <v/>
      </c>
      <c r="BK54" s="192" t="str">
        <f t="shared" si="24"/>
        <v/>
      </c>
      <c r="BL54" s="292" t="str">
        <f t="shared" si="27"/>
        <v/>
      </c>
      <c r="BM54" s="292" t="str">
        <f t="shared" si="28"/>
        <v/>
      </c>
      <c r="BN54" s="292" t="str">
        <f t="shared" si="25"/>
        <v/>
      </c>
      <c r="BO54" s="292" t="str">
        <f t="shared" si="29"/>
        <v/>
      </c>
      <c r="BP54" s="292" t="str">
        <f t="shared" si="30"/>
        <v/>
      </c>
      <c r="BQ54" s="292" t="str">
        <f t="shared" si="31"/>
        <v/>
      </c>
      <c r="BS54" s="196" t="s">
        <v>538</v>
      </c>
      <c r="BT54" s="292" t="e">
        <f>IF(OR(#REF!="",#REF!=0),0,5)</f>
        <v>#REF!</v>
      </c>
      <c r="BU54" s="292" t="e">
        <f>IF(OR(#REF!="",#REF!=0),0,5)</f>
        <v>#REF!</v>
      </c>
      <c r="BV54" s="292" t="e">
        <f>IF(OR(#REF!="",#REF!=0),0,5)</f>
        <v>#REF!</v>
      </c>
      <c r="BW54" s="292" t="e">
        <f>IF(OR(#REF!="",#REF!=0),0,5)</f>
        <v>#REF!</v>
      </c>
      <c r="BX54" s="192"/>
      <c r="BY54" s="192"/>
      <c r="BZ54" s="192"/>
      <c r="CA54" s="192"/>
      <c r="CC54" s="302" t="str">
        <f t="shared" ref="CC54:CC68" si="38">$BV$11&amp;BF12</f>
        <v>中泊/準</v>
      </c>
      <c r="CD54" s="147">
        <f t="shared" ref="CD54:CD68" si="39">BV12</f>
        <v>0</v>
      </c>
      <c r="CE54" s="754">
        <f>IF(OR(BV12="",BV12=0),0,62)</f>
        <v>0</v>
      </c>
      <c r="CF54" s="754">
        <v>330</v>
      </c>
      <c r="CG54" s="759">
        <v>62</v>
      </c>
    </row>
    <row r="55" spans="1:85" ht="24.95" customHeight="1">
      <c r="A55" s="542">
        <v>30</v>
      </c>
      <c r="B55" s="1920"/>
      <c r="C55" s="1908"/>
      <c r="D55" s="1908"/>
      <c r="E55" s="1908"/>
      <c r="F55" s="1908"/>
      <c r="G55" s="1909"/>
      <c r="H55" s="543"/>
      <c r="I55" s="544"/>
      <c r="J55" s="545"/>
      <c r="K55" s="928"/>
      <c r="L55" s="928"/>
      <c r="M55" s="921"/>
      <c r="N55" s="894">
        <v>60</v>
      </c>
      <c r="O55" s="1920"/>
      <c r="P55" s="1908"/>
      <c r="Q55" s="1908"/>
      <c r="R55" s="1908"/>
      <c r="S55" s="1908"/>
      <c r="T55" s="1909"/>
      <c r="U55" s="543"/>
      <c r="V55" s="544"/>
      <c r="W55" s="545"/>
      <c r="X55" s="928"/>
      <c r="Y55" s="928"/>
      <c r="Z55" s="545"/>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83">
        <v>52</v>
      </c>
      <c r="BB55" s="84">
        <f t="shared" si="35"/>
        <v>0</v>
      </c>
      <c r="BC55" s="85">
        <f t="shared" si="36"/>
        <v>0</v>
      </c>
      <c r="BD55" s="86">
        <f t="shared" si="37"/>
        <v>0</v>
      </c>
      <c r="BE55" s="86">
        <f t="shared" si="37"/>
        <v>0</v>
      </c>
      <c r="BF55" s="160"/>
      <c r="BG55" s="192"/>
      <c r="BH55" s="160" t="str">
        <f t="shared" si="23"/>
        <v/>
      </c>
      <c r="BI55" s="160" t="str">
        <f t="shared" si="26"/>
        <v/>
      </c>
      <c r="BJ55" s="192" t="str">
        <f t="shared" si="32"/>
        <v/>
      </c>
      <c r="BK55" s="192" t="str">
        <f t="shared" si="24"/>
        <v/>
      </c>
      <c r="BL55" s="292" t="str">
        <f t="shared" si="27"/>
        <v/>
      </c>
      <c r="BM55" s="292" t="str">
        <f t="shared" si="28"/>
        <v/>
      </c>
      <c r="BN55" s="292" t="str">
        <f t="shared" si="25"/>
        <v/>
      </c>
      <c r="BO55" s="292" t="str">
        <f t="shared" si="29"/>
        <v/>
      </c>
      <c r="BP55" s="292" t="str">
        <f t="shared" si="30"/>
        <v/>
      </c>
      <c r="BQ55" s="292" t="str">
        <f t="shared" si="31"/>
        <v/>
      </c>
      <c r="BS55" s="196" t="s">
        <v>539</v>
      </c>
      <c r="BT55" s="292" t="e">
        <f>IF(OR(#REF!="",#REF!=0),0,4)</f>
        <v>#REF!</v>
      </c>
      <c r="BU55" s="292" t="e">
        <f>IF(OR(#REF!="",#REF!=0),0,4)</f>
        <v>#REF!</v>
      </c>
      <c r="BV55" s="292" t="e">
        <f>IF(OR(#REF!="",#REF!=0),0,4)</f>
        <v>#REF!</v>
      </c>
      <c r="BW55" s="292" t="e">
        <f>IF(OR(#REF!="",#REF!=0),0,4)</f>
        <v>#REF!</v>
      </c>
      <c r="BX55" s="192"/>
      <c r="BY55" s="192"/>
      <c r="BZ55" s="192"/>
      <c r="CA55" s="192"/>
      <c r="CC55" s="302" t="str">
        <f t="shared" si="38"/>
        <v>中泊/特</v>
      </c>
      <c r="CD55" s="147">
        <f t="shared" si="39"/>
        <v>0</v>
      </c>
      <c r="CE55" s="754">
        <f>IF(OR(BV13="",BV13=0),0,61)</f>
        <v>0</v>
      </c>
      <c r="CF55" s="754">
        <v>330</v>
      </c>
      <c r="CG55" s="759">
        <v>61</v>
      </c>
    </row>
    <row r="56" spans="1:85" ht="24.95" customHeight="1">
      <c r="A56" s="542">
        <v>31</v>
      </c>
      <c r="B56" s="1920"/>
      <c r="C56" s="1908"/>
      <c r="D56" s="1908"/>
      <c r="E56" s="1908"/>
      <c r="F56" s="1908"/>
      <c r="G56" s="1909"/>
      <c r="H56" s="543"/>
      <c r="I56" s="544"/>
      <c r="J56" s="545"/>
      <c r="K56" s="928"/>
      <c r="L56" s="928"/>
      <c r="M56" s="928"/>
      <c r="N56" s="1085">
        <v>61</v>
      </c>
      <c r="O56" s="1920"/>
      <c r="P56" s="1908"/>
      <c r="Q56" s="1908"/>
      <c r="R56" s="1908"/>
      <c r="S56" s="1908"/>
      <c r="T56" s="1909"/>
      <c r="U56" s="543"/>
      <c r="V56" s="544"/>
      <c r="W56" s="545"/>
      <c r="X56" s="928"/>
      <c r="Y56" s="928"/>
      <c r="Z56" s="545"/>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83">
        <v>53</v>
      </c>
      <c r="BB56" s="84">
        <f t="shared" si="35"/>
        <v>0</v>
      </c>
      <c r="BC56" s="85">
        <f t="shared" si="36"/>
        <v>0</v>
      </c>
      <c r="BD56" s="86">
        <f t="shared" si="37"/>
        <v>0</v>
      </c>
      <c r="BE56" s="86">
        <f t="shared" si="37"/>
        <v>0</v>
      </c>
      <c r="BF56" s="160"/>
      <c r="BG56" s="192"/>
      <c r="BH56" s="160" t="str">
        <f t="shared" si="23"/>
        <v/>
      </c>
      <c r="BI56" s="160" t="str">
        <f t="shared" si="26"/>
        <v/>
      </c>
      <c r="BJ56" s="192" t="str">
        <f t="shared" si="32"/>
        <v/>
      </c>
      <c r="BK56" s="192" t="str">
        <f t="shared" si="24"/>
        <v/>
      </c>
      <c r="BL56" s="292" t="str">
        <f t="shared" si="27"/>
        <v/>
      </c>
      <c r="BM56" s="292" t="str">
        <f t="shared" si="28"/>
        <v/>
      </c>
      <c r="BN56" s="292" t="str">
        <f t="shared" si="25"/>
        <v/>
      </c>
      <c r="BO56" s="292" t="str">
        <f t="shared" si="29"/>
        <v/>
      </c>
      <c r="BP56" s="292" t="str">
        <f t="shared" si="30"/>
        <v/>
      </c>
      <c r="BQ56" s="292" t="str">
        <f t="shared" si="31"/>
        <v/>
      </c>
      <c r="BS56" s="196" t="s">
        <v>540</v>
      </c>
      <c r="BT56" s="292" t="e">
        <f>IF(OR(#REF!="",#REF!=0),0,3)</f>
        <v>#REF!</v>
      </c>
      <c r="BU56" s="292" t="e">
        <f>IF(OR(#REF!="",#REF!=0),0,3)</f>
        <v>#REF!</v>
      </c>
      <c r="BV56" s="292" t="e">
        <f>IF(OR(#REF!="",#REF!=0),0,3)</f>
        <v>#REF!</v>
      </c>
      <c r="BW56" s="292" t="e">
        <f>IF(OR(#REF!="",#REF!=0),0,3)</f>
        <v>#REF!</v>
      </c>
      <c r="BX56" s="192"/>
      <c r="BY56" s="192"/>
      <c r="BZ56" s="192"/>
      <c r="CA56" s="192"/>
      <c r="CC56" s="302" t="str">
        <f t="shared" si="38"/>
        <v>中泊/身</v>
      </c>
      <c r="CD56" s="147">
        <f t="shared" si="39"/>
        <v>0</v>
      </c>
      <c r="CE56" s="754">
        <f>IF(OR(BV14="",BV14=0),0,60)</f>
        <v>0</v>
      </c>
      <c r="CF56" s="754">
        <v>330</v>
      </c>
      <c r="CG56" s="759">
        <v>60</v>
      </c>
    </row>
    <row r="57" spans="1:85" ht="24.95" customHeight="1">
      <c r="A57" s="542">
        <v>32</v>
      </c>
      <c r="B57" s="1920"/>
      <c r="C57" s="1908"/>
      <c r="D57" s="1908"/>
      <c r="E57" s="1908"/>
      <c r="F57" s="1908"/>
      <c r="G57" s="1909"/>
      <c r="H57" s="543"/>
      <c r="I57" s="544"/>
      <c r="J57" s="545"/>
      <c r="K57" s="928"/>
      <c r="L57" s="928"/>
      <c r="M57" s="921"/>
      <c r="N57" s="894">
        <v>62</v>
      </c>
      <c r="O57" s="1920"/>
      <c r="P57" s="1908"/>
      <c r="Q57" s="1908"/>
      <c r="R57" s="1908"/>
      <c r="S57" s="1908"/>
      <c r="T57" s="1909"/>
      <c r="U57" s="543"/>
      <c r="V57" s="544"/>
      <c r="W57" s="545"/>
      <c r="X57" s="928"/>
      <c r="Y57" s="928"/>
      <c r="Z57" s="545"/>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83">
        <v>54</v>
      </c>
      <c r="BB57" s="84">
        <f t="shared" si="35"/>
        <v>0</v>
      </c>
      <c r="BC57" s="85">
        <f t="shared" si="36"/>
        <v>0</v>
      </c>
      <c r="BD57" s="86">
        <f t="shared" si="37"/>
        <v>0</v>
      </c>
      <c r="BE57" s="86">
        <f t="shared" si="37"/>
        <v>0</v>
      </c>
      <c r="BF57" s="160"/>
      <c r="BG57" s="192"/>
      <c r="BH57" s="160" t="str">
        <f t="shared" si="23"/>
        <v/>
      </c>
      <c r="BI57" s="160" t="str">
        <f t="shared" si="26"/>
        <v/>
      </c>
      <c r="BJ57" s="192" t="str">
        <f t="shared" si="32"/>
        <v/>
      </c>
      <c r="BK57" s="192" t="str">
        <f t="shared" si="24"/>
        <v/>
      </c>
      <c r="BL57" s="292" t="str">
        <f t="shared" si="27"/>
        <v/>
      </c>
      <c r="BM57" s="292" t="str">
        <f t="shared" si="28"/>
        <v/>
      </c>
      <c r="BN57" s="292" t="str">
        <f t="shared" si="25"/>
        <v/>
      </c>
      <c r="BO57" s="292" t="str">
        <f t="shared" si="29"/>
        <v/>
      </c>
      <c r="BP57" s="292" t="str">
        <f t="shared" si="30"/>
        <v/>
      </c>
      <c r="BQ57" s="292" t="str">
        <f t="shared" si="31"/>
        <v/>
      </c>
      <c r="BS57" s="196" t="s">
        <v>541</v>
      </c>
      <c r="BT57" s="292" t="e">
        <f>IF(OR(#REF!="",#REF!=0),0,2)</f>
        <v>#REF!</v>
      </c>
      <c r="BU57" s="292" t="e">
        <f>IF(OR(#REF!="",#REF!=0),0,2)</f>
        <v>#REF!</v>
      </c>
      <c r="BV57" s="292" t="e">
        <f>IF(OR(#REF!="",#REF!=0),0,2)</f>
        <v>#REF!</v>
      </c>
      <c r="BW57" s="292" t="e">
        <f>IF(OR(#REF!="",#REF!=0),0,2)</f>
        <v>#REF!</v>
      </c>
      <c r="BX57" s="192"/>
      <c r="BY57" s="192"/>
      <c r="BZ57" s="192"/>
      <c r="CA57" s="192"/>
      <c r="CC57" s="302" t="str">
        <f t="shared" si="38"/>
        <v>中泊/療</v>
      </c>
      <c r="CD57" s="147">
        <f t="shared" si="39"/>
        <v>0</v>
      </c>
      <c r="CE57" s="754">
        <f>IF(OR(BV15="",BV15=0),0,59)</f>
        <v>0</v>
      </c>
      <c r="CF57" s="754">
        <v>330</v>
      </c>
      <c r="CG57" s="759">
        <v>59</v>
      </c>
    </row>
    <row r="58" spans="1:85" ht="24.95" customHeight="1">
      <c r="A58" s="542">
        <v>33</v>
      </c>
      <c r="B58" s="1920"/>
      <c r="C58" s="1908"/>
      <c r="D58" s="1908"/>
      <c r="E58" s="1908"/>
      <c r="F58" s="1908"/>
      <c r="G58" s="1909"/>
      <c r="H58" s="543"/>
      <c r="I58" s="544"/>
      <c r="J58" s="545"/>
      <c r="K58" s="928"/>
      <c r="L58" s="928"/>
      <c r="M58" s="921"/>
      <c r="N58" s="894">
        <v>63</v>
      </c>
      <c r="O58" s="1920"/>
      <c r="P58" s="1908"/>
      <c r="Q58" s="1908"/>
      <c r="R58" s="1908"/>
      <c r="S58" s="1908"/>
      <c r="T58" s="1909"/>
      <c r="U58" s="543"/>
      <c r="V58" s="544"/>
      <c r="W58" s="545"/>
      <c r="X58" s="928"/>
      <c r="Y58" s="928"/>
      <c r="Z58" s="545"/>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83">
        <v>55</v>
      </c>
      <c r="BB58" s="84">
        <f t="shared" si="35"/>
        <v>0</v>
      </c>
      <c r="BC58" s="85">
        <f t="shared" si="36"/>
        <v>0</v>
      </c>
      <c r="BD58" s="86">
        <f t="shared" si="37"/>
        <v>0</v>
      </c>
      <c r="BE58" s="86">
        <f t="shared" si="37"/>
        <v>0</v>
      </c>
      <c r="BF58" s="160"/>
      <c r="BG58" s="192"/>
      <c r="BH58" s="160" t="str">
        <f t="shared" si="23"/>
        <v/>
      </c>
      <c r="BI58" s="160" t="str">
        <f t="shared" si="26"/>
        <v/>
      </c>
      <c r="BJ58" s="192" t="str">
        <f t="shared" si="32"/>
        <v/>
      </c>
      <c r="BK58" s="192" t="str">
        <f t="shared" si="24"/>
        <v/>
      </c>
      <c r="BL58" s="292" t="str">
        <f t="shared" si="27"/>
        <v/>
      </c>
      <c r="BM58" s="292" t="str">
        <f t="shared" si="28"/>
        <v/>
      </c>
      <c r="BN58" s="292" t="str">
        <f t="shared" si="25"/>
        <v/>
      </c>
      <c r="BO58" s="292" t="str">
        <f t="shared" si="29"/>
        <v/>
      </c>
      <c r="BP58" s="292" t="str">
        <f t="shared" si="30"/>
        <v/>
      </c>
      <c r="BQ58" s="292" t="str">
        <f t="shared" si="31"/>
        <v/>
      </c>
      <c r="BS58" s="196" t="s">
        <v>554</v>
      </c>
      <c r="BT58" s="292">
        <f>IF(OR(BT28="",BT28=0),0,1)</f>
        <v>0</v>
      </c>
      <c r="BU58" s="292">
        <f>IF(OR(BU28="",BU28=0),0,1)</f>
        <v>0</v>
      </c>
      <c r="BV58" s="292">
        <f>IF(OR(BV28="",BV28=0),0,1)</f>
        <v>0</v>
      </c>
      <c r="BW58" s="292">
        <f>IF(OR(BW28="",BW28=0),0,1)</f>
        <v>0</v>
      </c>
      <c r="BX58" s="192"/>
      <c r="BY58" s="192"/>
      <c r="BZ58" s="192"/>
      <c r="CA58" s="192"/>
      <c r="CC58" s="302" t="str">
        <f t="shared" si="38"/>
        <v>中泊/精</v>
      </c>
      <c r="CD58" s="147">
        <f t="shared" si="39"/>
        <v>0</v>
      </c>
      <c r="CE58" s="754">
        <f>IF(OR(BV16="",BV16=0),0,58)</f>
        <v>0</v>
      </c>
      <c r="CF58" s="754">
        <v>330</v>
      </c>
      <c r="CG58" s="759">
        <v>58</v>
      </c>
    </row>
    <row r="59" spans="1:85" ht="24.95" customHeight="1">
      <c r="A59" s="542">
        <v>34</v>
      </c>
      <c r="B59" s="1920"/>
      <c r="C59" s="1908"/>
      <c r="D59" s="1908"/>
      <c r="E59" s="1908"/>
      <c r="F59" s="1908"/>
      <c r="G59" s="1909"/>
      <c r="H59" s="543"/>
      <c r="I59" s="544"/>
      <c r="J59" s="545"/>
      <c r="K59" s="928"/>
      <c r="L59" s="928"/>
      <c r="M59" s="921"/>
      <c r="N59" s="894">
        <v>64</v>
      </c>
      <c r="O59" s="1920"/>
      <c r="P59" s="1908"/>
      <c r="Q59" s="1908"/>
      <c r="R59" s="1908"/>
      <c r="S59" s="1908"/>
      <c r="T59" s="1909"/>
      <c r="U59" s="543"/>
      <c r="V59" s="544"/>
      <c r="W59" s="545"/>
      <c r="X59" s="928"/>
      <c r="Y59" s="928"/>
      <c r="Z59" s="545"/>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83">
        <v>56</v>
      </c>
      <c r="BB59" s="84">
        <f t="shared" si="35"/>
        <v>0</v>
      </c>
      <c r="BC59" s="85">
        <f t="shared" si="36"/>
        <v>0</v>
      </c>
      <c r="BD59" s="86">
        <f t="shared" si="37"/>
        <v>0</v>
      </c>
      <c r="BE59" s="86">
        <f t="shared" si="37"/>
        <v>0</v>
      </c>
      <c r="BF59" s="160"/>
      <c r="BG59" s="192"/>
      <c r="BH59" s="160" t="str">
        <f t="shared" si="23"/>
        <v/>
      </c>
      <c r="BI59" s="160" t="str">
        <f t="shared" si="26"/>
        <v/>
      </c>
      <c r="BJ59" s="192" t="str">
        <f t="shared" si="32"/>
        <v/>
      </c>
      <c r="BK59" s="192" t="str">
        <f t="shared" si="24"/>
        <v/>
      </c>
      <c r="BL59" s="292" t="str">
        <f t="shared" si="27"/>
        <v/>
      </c>
      <c r="BM59" s="292" t="str">
        <f t="shared" si="28"/>
        <v/>
      </c>
      <c r="BN59" s="292" t="str">
        <f t="shared" si="25"/>
        <v/>
      </c>
      <c r="BO59" s="292" t="str">
        <f t="shared" si="29"/>
        <v/>
      </c>
      <c r="BP59" s="292" t="str">
        <f t="shared" si="30"/>
        <v/>
      </c>
      <c r="BQ59" s="292" t="str">
        <f t="shared" si="31"/>
        <v/>
      </c>
      <c r="BS59" s="196" t="s">
        <v>1846</v>
      </c>
      <c r="BT59" s="192"/>
      <c r="BU59" s="192"/>
      <c r="BV59" s="192"/>
      <c r="BW59" s="192"/>
      <c r="BX59" s="192"/>
      <c r="BY59" s="192"/>
      <c r="BZ59" s="192"/>
      <c r="CA59" s="192"/>
      <c r="CC59" s="302" t="str">
        <f t="shared" si="38"/>
        <v>中泊/介添</v>
      </c>
      <c r="CD59" s="147">
        <f t="shared" si="39"/>
        <v>0</v>
      </c>
      <c r="CE59" s="754">
        <f>IF(OR(BV17="",BV17=0),0,57)</f>
        <v>0</v>
      </c>
      <c r="CF59" s="754">
        <v>330</v>
      </c>
      <c r="CG59" s="759">
        <v>57</v>
      </c>
    </row>
    <row r="60" spans="1:85" ht="24.95" customHeight="1">
      <c r="A60" s="542">
        <v>35</v>
      </c>
      <c r="B60" s="1920"/>
      <c r="C60" s="1908"/>
      <c r="D60" s="1908"/>
      <c r="E60" s="1908"/>
      <c r="F60" s="1908"/>
      <c r="G60" s="1909"/>
      <c r="H60" s="543"/>
      <c r="I60" s="544"/>
      <c r="J60" s="545"/>
      <c r="K60" s="928"/>
      <c r="L60" s="928"/>
      <c r="M60" s="921"/>
      <c r="N60" s="894">
        <v>65</v>
      </c>
      <c r="O60" s="1920"/>
      <c r="P60" s="1908"/>
      <c r="Q60" s="1908"/>
      <c r="R60" s="1908"/>
      <c r="S60" s="1908"/>
      <c r="T60" s="1909"/>
      <c r="U60" s="543"/>
      <c r="V60" s="544"/>
      <c r="W60" s="545"/>
      <c r="X60" s="928"/>
      <c r="Y60" s="928"/>
      <c r="Z60" s="545"/>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83">
        <v>57</v>
      </c>
      <c r="BB60" s="84">
        <f t="shared" si="35"/>
        <v>0</v>
      </c>
      <c r="BC60" s="85">
        <f t="shared" si="36"/>
        <v>0</v>
      </c>
      <c r="BD60" s="86">
        <f t="shared" si="37"/>
        <v>0</v>
      </c>
      <c r="BE60" s="86">
        <f t="shared" si="37"/>
        <v>0</v>
      </c>
      <c r="BF60" s="160"/>
      <c r="BG60" s="192"/>
      <c r="BH60" s="160" t="str">
        <f t="shared" si="23"/>
        <v/>
      </c>
      <c r="BI60" s="160" t="str">
        <f t="shared" si="26"/>
        <v/>
      </c>
      <c r="BJ60" s="192" t="str">
        <f t="shared" si="32"/>
        <v/>
      </c>
      <c r="BK60" s="192" t="str">
        <f t="shared" si="24"/>
        <v/>
      </c>
      <c r="BL60" s="292" t="str">
        <f t="shared" si="27"/>
        <v/>
      </c>
      <c r="BM60" s="292" t="str">
        <f t="shared" si="28"/>
        <v/>
      </c>
      <c r="BN60" s="292" t="str">
        <f t="shared" si="25"/>
        <v/>
      </c>
      <c r="BO60" s="292" t="str">
        <f t="shared" si="29"/>
        <v/>
      </c>
      <c r="BP60" s="292" t="str">
        <f t="shared" si="30"/>
        <v/>
      </c>
      <c r="BQ60" s="292" t="str">
        <f t="shared" si="31"/>
        <v/>
      </c>
      <c r="CC60" s="302" t="str">
        <f t="shared" si="38"/>
        <v>中泊/準・特</v>
      </c>
      <c r="CD60" s="147">
        <f t="shared" si="39"/>
        <v>0</v>
      </c>
      <c r="CE60" s="754">
        <f>IF(OR(BV18="",BV18=0),0,56)</f>
        <v>0</v>
      </c>
      <c r="CF60" s="754">
        <v>330</v>
      </c>
      <c r="CG60" s="759">
        <v>56</v>
      </c>
    </row>
    <row r="61" spans="1:85" ht="24.95" customHeight="1">
      <c r="A61" s="542">
        <v>36</v>
      </c>
      <c r="B61" s="1920"/>
      <c r="C61" s="1908"/>
      <c r="D61" s="1908"/>
      <c r="E61" s="1908"/>
      <c r="F61" s="1908"/>
      <c r="G61" s="1909"/>
      <c r="H61" s="543"/>
      <c r="I61" s="544"/>
      <c r="J61" s="545"/>
      <c r="K61" s="928"/>
      <c r="L61" s="928"/>
      <c r="M61" s="921"/>
      <c r="N61" s="894">
        <v>66</v>
      </c>
      <c r="O61" s="1920"/>
      <c r="P61" s="1908"/>
      <c r="Q61" s="1908"/>
      <c r="R61" s="1908"/>
      <c r="S61" s="1908"/>
      <c r="T61" s="1909"/>
      <c r="U61" s="543"/>
      <c r="V61" s="544"/>
      <c r="W61" s="545"/>
      <c r="X61" s="928"/>
      <c r="Y61" s="928"/>
      <c r="Z61" s="545"/>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83">
        <v>58</v>
      </c>
      <c r="BB61" s="84">
        <f t="shared" si="35"/>
        <v>0</v>
      </c>
      <c r="BC61" s="85">
        <f t="shared" si="36"/>
        <v>0</v>
      </c>
      <c r="BD61" s="86">
        <f t="shared" si="37"/>
        <v>0</v>
      </c>
      <c r="BE61" s="86">
        <f t="shared" si="37"/>
        <v>0</v>
      </c>
      <c r="BF61" s="291" t="s">
        <v>1385</v>
      </c>
      <c r="BG61" s="200">
        <f>COUNTIFS(BF31:BQ60,"2一")*2</f>
        <v>0</v>
      </c>
      <c r="BH61" s="293" t="s">
        <v>1393</v>
      </c>
      <c r="BI61" s="200">
        <f>COUNTIFS(BF31:BQ60,"2一介添")</f>
        <v>0</v>
      </c>
      <c r="BJ61" s="291" t="s">
        <v>1384</v>
      </c>
      <c r="BK61" s="77">
        <f>COUNTIFS(BF31:BQ60,"2一")</f>
        <v>0</v>
      </c>
      <c r="CC61" s="302" t="str">
        <f t="shared" si="38"/>
        <v>中泊/準・身</v>
      </c>
      <c r="CD61" s="147">
        <f t="shared" si="39"/>
        <v>0</v>
      </c>
      <c r="CE61" s="754">
        <f>IF(OR(BV19="",BV19=0),0,55)</f>
        <v>0</v>
      </c>
      <c r="CF61" s="754">
        <v>330</v>
      </c>
      <c r="CG61" s="759">
        <v>55</v>
      </c>
    </row>
    <row r="62" spans="1:85" ht="24.95" customHeight="1">
      <c r="A62" s="542">
        <v>37</v>
      </c>
      <c r="B62" s="1920"/>
      <c r="C62" s="1908"/>
      <c r="D62" s="1908"/>
      <c r="E62" s="1908"/>
      <c r="F62" s="1908"/>
      <c r="G62" s="1909"/>
      <c r="H62" s="543"/>
      <c r="I62" s="544"/>
      <c r="J62" s="545"/>
      <c r="K62" s="928"/>
      <c r="L62" s="928"/>
      <c r="M62" s="921"/>
      <c r="N62" s="894">
        <v>67</v>
      </c>
      <c r="O62" s="1920"/>
      <c r="P62" s="1908"/>
      <c r="Q62" s="1908"/>
      <c r="R62" s="1908"/>
      <c r="S62" s="1908"/>
      <c r="T62" s="1909"/>
      <c r="U62" s="543"/>
      <c r="V62" s="544"/>
      <c r="W62" s="545"/>
      <c r="X62" s="928"/>
      <c r="Y62" s="928"/>
      <c r="Z62" s="545"/>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83">
        <v>59</v>
      </c>
      <c r="BB62" s="84">
        <f t="shared" si="35"/>
        <v>0</v>
      </c>
      <c r="BC62" s="85">
        <f t="shared" si="36"/>
        <v>0</v>
      </c>
      <c r="BD62" s="86">
        <f t="shared" si="37"/>
        <v>0</v>
      </c>
      <c r="BE62" s="86">
        <f t="shared" si="37"/>
        <v>0</v>
      </c>
      <c r="CC62" s="302" t="str">
        <f t="shared" si="38"/>
        <v>中泊/準・療</v>
      </c>
      <c r="CD62" s="147">
        <f t="shared" si="39"/>
        <v>0</v>
      </c>
      <c r="CE62" s="754">
        <f>IF(OR(BV20="",BV20=0),0,54)</f>
        <v>0</v>
      </c>
      <c r="CF62" s="754">
        <v>330</v>
      </c>
      <c r="CG62" s="759">
        <v>54</v>
      </c>
    </row>
    <row r="63" spans="1:85" ht="24.95" customHeight="1">
      <c r="A63" s="542">
        <v>38</v>
      </c>
      <c r="B63" s="1920"/>
      <c r="C63" s="1908"/>
      <c r="D63" s="1908"/>
      <c r="E63" s="1908"/>
      <c r="F63" s="1908"/>
      <c r="G63" s="1909"/>
      <c r="H63" s="543"/>
      <c r="I63" s="544"/>
      <c r="J63" s="545"/>
      <c r="K63" s="928"/>
      <c r="L63" s="928"/>
      <c r="M63" s="921"/>
      <c r="N63" s="894">
        <v>68</v>
      </c>
      <c r="O63" s="1920"/>
      <c r="P63" s="1908"/>
      <c r="Q63" s="1908"/>
      <c r="R63" s="1908"/>
      <c r="S63" s="1908"/>
      <c r="T63" s="1909"/>
      <c r="U63" s="543"/>
      <c r="V63" s="544"/>
      <c r="W63" s="545"/>
      <c r="X63" s="928"/>
      <c r="Y63" s="928"/>
      <c r="Z63" s="545"/>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83">
        <v>60</v>
      </c>
      <c r="BB63" s="84">
        <f t="shared" si="35"/>
        <v>0</v>
      </c>
      <c r="BC63" s="85">
        <f t="shared" si="36"/>
        <v>0</v>
      </c>
      <c r="BD63" s="86">
        <f t="shared" si="37"/>
        <v>0</v>
      </c>
      <c r="BE63" s="86">
        <f t="shared" si="37"/>
        <v>0</v>
      </c>
      <c r="BF63" s="1916" t="s">
        <v>1870</v>
      </c>
      <c r="BG63" s="1916"/>
      <c r="BH63" s="1916"/>
      <c r="BI63" s="1916"/>
      <c r="BJ63" s="1916"/>
      <c r="BK63" s="1916"/>
      <c r="BL63" s="1916"/>
      <c r="BM63" s="1916"/>
      <c r="BN63" s="1916"/>
      <c r="CC63" s="302" t="str">
        <f t="shared" si="38"/>
        <v>中泊/準・精</v>
      </c>
      <c r="CD63" s="147">
        <f t="shared" si="39"/>
        <v>0</v>
      </c>
      <c r="CE63" s="754">
        <f>IF(OR(BV21="",BV21=0),0,53)</f>
        <v>0</v>
      </c>
      <c r="CF63" s="754">
        <v>330</v>
      </c>
      <c r="CG63" s="759">
        <v>53</v>
      </c>
    </row>
    <row r="64" spans="1:85" ht="24.95" customHeight="1">
      <c r="A64" s="542">
        <v>39</v>
      </c>
      <c r="B64" s="1920"/>
      <c r="C64" s="1908"/>
      <c r="D64" s="1908"/>
      <c r="E64" s="1908"/>
      <c r="F64" s="1908"/>
      <c r="G64" s="1909"/>
      <c r="H64" s="543"/>
      <c r="I64" s="544"/>
      <c r="J64" s="545"/>
      <c r="K64" s="928"/>
      <c r="L64" s="928"/>
      <c r="M64" s="921"/>
      <c r="N64" s="894">
        <v>69</v>
      </c>
      <c r="O64" s="1920"/>
      <c r="P64" s="1908"/>
      <c r="Q64" s="1908"/>
      <c r="R64" s="1908"/>
      <c r="S64" s="1908"/>
      <c r="T64" s="1909"/>
      <c r="U64" s="543"/>
      <c r="V64" s="544"/>
      <c r="W64" s="545"/>
      <c r="X64" s="928"/>
      <c r="Y64" s="928"/>
      <c r="Z64" s="545"/>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83">
        <v>61</v>
      </c>
      <c r="BB64" s="84">
        <f t="shared" si="35"/>
        <v>0</v>
      </c>
      <c r="BC64" s="85">
        <f t="shared" si="36"/>
        <v>0</v>
      </c>
      <c r="BD64" s="86">
        <f t="shared" si="37"/>
        <v>0</v>
      </c>
      <c r="BE64" s="86">
        <f t="shared" si="37"/>
        <v>0</v>
      </c>
      <c r="BF64" s="304" t="s">
        <v>1370</v>
      </c>
      <c r="BG64" s="316" t="s">
        <v>1866</v>
      </c>
      <c r="BH64" s="211" t="s">
        <v>1838</v>
      </c>
      <c r="BI64" s="211" t="s">
        <v>1867</v>
      </c>
      <c r="BJ64" s="317" t="s">
        <v>1841</v>
      </c>
      <c r="BK64" s="316" t="s">
        <v>1868</v>
      </c>
      <c r="BL64" s="317" t="s">
        <v>1852</v>
      </c>
      <c r="BM64" s="317" t="s">
        <v>1869</v>
      </c>
      <c r="BN64" s="317" t="s">
        <v>1853</v>
      </c>
      <c r="BO64" s="323"/>
      <c r="BP64" s="323"/>
      <c r="BQ64" s="303"/>
      <c r="CC64" s="302" t="str">
        <f t="shared" si="38"/>
        <v>中泊/特・身</v>
      </c>
      <c r="CD64" s="147">
        <f t="shared" si="39"/>
        <v>0</v>
      </c>
      <c r="CE64" s="754">
        <f>IF(OR(BV22="",BV22=0),0,52)</f>
        <v>0</v>
      </c>
      <c r="CF64" s="754">
        <v>330</v>
      </c>
      <c r="CG64" s="759">
        <v>52</v>
      </c>
    </row>
    <row r="65" spans="1:88" ht="24.95" customHeight="1">
      <c r="A65" s="542">
        <v>40</v>
      </c>
      <c r="B65" s="1920"/>
      <c r="C65" s="1908"/>
      <c r="D65" s="1908"/>
      <c r="E65" s="1908"/>
      <c r="F65" s="1908"/>
      <c r="G65" s="1909"/>
      <c r="H65" s="543"/>
      <c r="I65" s="544"/>
      <c r="J65" s="545"/>
      <c r="K65" s="928"/>
      <c r="L65" s="928"/>
      <c r="M65" s="921"/>
      <c r="N65" s="894">
        <v>70</v>
      </c>
      <c r="O65" s="1917"/>
      <c r="P65" s="1918"/>
      <c r="Q65" s="1918"/>
      <c r="R65" s="1918"/>
      <c r="S65" s="1918"/>
      <c r="T65" s="1919"/>
      <c r="U65" s="543"/>
      <c r="V65" s="544"/>
      <c r="W65" s="545"/>
      <c r="X65" s="928"/>
      <c r="Y65" s="928"/>
      <c r="Z65" s="545"/>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83">
        <v>62</v>
      </c>
      <c r="BB65" s="84">
        <f t="shared" si="35"/>
        <v>0</v>
      </c>
      <c r="BC65" s="85">
        <f t="shared" si="36"/>
        <v>0</v>
      </c>
      <c r="BD65" s="86">
        <f t="shared" si="37"/>
        <v>0</v>
      </c>
      <c r="BE65" s="86">
        <f t="shared" si="37"/>
        <v>0</v>
      </c>
      <c r="BF65" s="304">
        <v>1</v>
      </c>
      <c r="BG65" s="321">
        <f>COUNTIFS($H$13:$H$22,1,$J$13:$J$22,"小")</f>
        <v>0</v>
      </c>
      <c r="BH65" s="321">
        <f>COUNTIFS($I$13:$I$22,1,$J$13:$J$22,"小")+COUNTIFS($I$13:$I$22,2,$J$13:$J$22,"小")</f>
        <v>0</v>
      </c>
      <c r="BI65" s="321">
        <f>COUNTIFS($H$13:$H$22,1,$J$13:$J$22,"中")</f>
        <v>0</v>
      </c>
      <c r="BJ65" s="321">
        <f>COUNTIFS($I$13:$I$22,1,$J$13:$J$22,"中")+COUNTIFS($I$13:$I$22,2,$J$13:$J$22,"中")</f>
        <v>0</v>
      </c>
      <c r="BK65" s="321">
        <f>COUNTIFS($H$13:$H$22,1,$J$13:$J$22,"引")</f>
        <v>0</v>
      </c>
      <c r="BL65" s="321">
        <f>COUNTIFS($I$13:$I$22,1,$J$13:$J$22,"引")+COUNTIFS($I$13:$I$22,2,$J$13:$J$22,"引")</f>
        <v>0</v>
      </c>
      <c r="BM65" s="321">
        <f>COUNTIFS($H$13:$H$22,1,$J$13:$J$22,"一")</f>
        <v>0</v>
      </c>
      <c r="BN65" s="321">
        <f>COUNTIFS($I$13:$I$22,1,$J$13:$J$22,"一")+COUNTIFS($I$13:$I$22,2,$J$13:$J$22,"一")</f>
        <v>0</v>
      </c>
      <c r="BO65" s="324"/>
      <c r="BP65" s="324"/>
      <c r="BQ65" s="56"/>
      <c r="CC65" s="302" t="str">
        <f t="shared" si="38"/>
        <v>中泊/特・療</v>
      </c>
      <c r="CD65" s="147">
        <f t="shared" si="39"/>
        <v>0</v>
      </c>
      <c r="CE65" s="754">
        <f>IF(OR(BV23="",BV23=0),0,51)</f>
        <v>0</v>
      </c>
      <c r="CF65" s="754">
        <v>330</v>
      </c>
      <c r="CG65" s="759">
        <v>51</v>
      </c>
    </row>
    <row r="66" spans="1:88" s="56" customFormat="1" ht="24.95" customHeight="1">
      <c r="A66" s="542">
        <v>41</v>
      </c>
      <c r="B66" s="1920"/>
      <c r="C66" s="1908"/>
      <c r="D66" s="1908"/>
      <c r="E66" s="1908"/>
      <c r="F66" s="1908"/>
      <c r="G66" s="1909"/>
      <c r="H66" s="543"/>
      <c r="I66" s="544"/>
      <c r="J66" s="545"/>
      <c r="K66" s="928"/>
      <c r="L66" s="928"/>
      <c r="M66" s="928"/>
      <c r="N66" s="1085">
        <v>71</v>
      </c>
      <c r="O66" s="1920"/>
      <c r="P66" s="1908"/>
      <c r="Q66" s="1908"/>
      <c r="R66" s="1908"/>
      <c r="S66" s="1908"/>
      <c r="T66" s="1909"/>
      <c r="U66" s="543"/>
      <c r="V66" s="544"/>
      <c r="W66" s="545"/>
      <c r="X66" s="928"/>
      <c r="Y66" s="928"/>
      <c r="Z66" s="545"/>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83">
        <v>63</v>
      </c>
      <c r="BB66" s="84">
        <f t="shared" si="35"/>
        <v>0</v>
      </c>
      <c r="BC66" s="85">
        <f t="shared" si="36"/>
        <v>0</v>
      </c>
      <c r="BD66" s="86">
        <f t="shared" si="37"/>
        <v>0</v>
      </c>
      <c r="BE66" s="86">
        <f t="shared" si="37"/>
        <v>0</v>
      </c>
      <c r="BF66" s="316">
        <v>2</v>
      </c>
      <c r="BG66" s="321">
        <f>COUNTIFS($U$13:$U$22,1,$W$13:$W$22,"小")</f>
        <v>0</v>
      </c>
      <c r="BH66" s="321">
        <f>COUNTIFS($V$13:$V$22,1,$W$13:$W$22,"小")+COUNTIFS($V$13:$V$22,2,$W$13:$W$22,"小")</f>
        <v>0</v>
      </c>
      <c r="BI66" s="321">
        <f>COUNTIFS($U$13:$U$22,1,$W$13:$W$22,"中")</f>
        <v>0</v>
      </c>
      <c r="BJ66" s="321">
        <f>COUNTIFS($V$13:$V$22,1,$W$13:$W$22,"中")+COUNTIFS($V$13:$V$22,2,$W$13:$W$22,"中")</f>
        <v>0</v>
      </c>
      <c r="BK66" s="321">
        <f>COUNTIFS($U$13:$U$22,1,$W$13:$W$22,"引")</f>
        <v>0</v>
      </c>
      <c r="BL66" s="321">
        <f>COUNTIFS($V$13:$V$22,1,$W$13:$W$22,"引")+COUNTIFS($V$13:$V$22,2,$W$13:$W$22,"引")</f>
        <v>0</v>
      </c>
      <c r="BM66" s="321">
        <f>COUNTIFS($U$13:$U$22,1,$W$13:$W$22,"一")</f>
        <v>0</v>
      </c>
      <c r="BN66" s="321">
        <f>COUNTIFS($V$13:$V$22,1,$W$13:$W$22,"一")+COUNTIFS($V$13:$V$22,2,$W$13:$W$22,"一")</f>
        <v>0</v>
      </c>
      <c r="BO66" s="324"/>
      <c r="BP66" s="324"/>
      <c r="CC66" s="302" t="str">
        <f t="shared" si="38"/>
        <v>中泊/特・精</v>
      </c>
      <c r="CD66" s="147">
        <f t="shared" si="39"/>
        <v>0</v>
      </c>
      <c r="CE66" s="754">
        <f>IF(OR(BV24="",BV24=0),0,50)</f>
        <v>0</v>
      </c>
      <c r="CF66" s="754">
        <v>330</v>
      </c>
      <c r="CG66" s="759">
        <v>50</v>
      </c>
      <c r="CI66" s="303"/>
      <c r="CJ66" s="303"/>
    </row>
    <row r="67" spans="1:88" s="57" customFormat="1" ht="24.95" customHeight="1">
      <c r="A67" s="542">
        <v>42</v>
      </c>
      <c r="B67" s="1920"/>
      <c r="C67" s="1908"/>
      <c r="D67" s="1908"/>
      <c r="E67" s="1908"/>
      <c r="F67" s="1908"/>
      <c r="G67" s="1909"/>
      <c r="H67" s="543"/>
      <c r="I67" s="544"/>
      <c r="J67" s="545"/>
      <c r="K67" s="928"/>
      <c r="L67" s="928"/>
      <c r="M67" s="921"/>
      <c r="N67" s="894">
        <v>72</v>
      </c>
      <c r="O67" s="1920"/>
      <c r="P67" s="1908"/>
      <c r="Q67" s="1908"/>
      <c r="R67" s="1908"/>
      <c r="S67" s="1908"/>
      <c r="T67" s="1909"/>
      <c r="U67" s="543"/>
      <c r="V67" s="544"/>
      <c r="W67" s="545"/>
      <c r="X67" s="928"/>
      <c r="Y67" s="928"/>
      <c r="Z67" s="545"/>
      <c r="BA67" s="83">
        <v>64</v>
      </c>
      <c r="BB67" s="84">
        <f t="shared" si="35"/>
        <v>0</v>
      </c>
      <c r="BC67" s="85">
        <f t="shared" si="36"/>
        <v>0</v>
      </c>
      <c r="BD67" s="86">
        <f t="shared" si="37"/>
        <v>0</v>
      </c>
      <c r="BE67" s="86">
        <f t="shared" si="37"/>
        <v>0</v>
      </c>
      <c r="BF67" s="316">
        <v>3</v>
      </c>
      <c r="BG67" s="322">
        <f>COUNTIFS($H$46:$H$75,1,$J$46:$J$75,"小")</f>
        <v>0</v>
      </c>
      <c r="BH67" s="322">
        <f>COUNTIFS($I$46:$I$75,1,$J$46:$J$75,"小")+COUNTIFS($I$46:$I$75,2,$J$46:$J$75,"小")</f>
        <v>0</v>
      </c>
      <c r="BI67" s="322">
        <f>COUNTIFS($H$46:$H$75,1,$J$46:$J$75,"中")</f>
        <v>0</v>
      </c>
      <c r="BJ67" s="322">
        <f>COUNTIFS($I$46:$I$75,1,$J$46:$J$75,"中")+COUNTIFS($I$46:$I$75,2,$J$46:$J$75,"中")</f>
        <v>0</v>
      </c>
      <c r="BK67" s="322">
        <f>COUNTIFS($H$46:$H$75,1,$J$46:$J$75,"引")</f>
        <v>0</v>
      </c>
      <c r="BL67" s="322">
        <f>COUNTIFS($I$46:$I$75,1,$J$46:$J$75,"引")+COUNTIFS($I$46:$I$75,2,$J$46:$J$75,"引")</f>
        <v>0</v>
      </c>
      <c r="BM67" s="322">
        <f>COUNTIFS($H$46:$H$75,1,$J$46:$J$75,"一")</f>
        <v>0</v>
      </c>
      <c r="BN67" s="322">
        <f>COUNTIFS($I$46:$I$75,1,$J$46:$J$75,"一")+COUNTIFS($I$46:$I$75,2,$J$46:$J$75,"一")</f>
        <v>0</v>
      </c>
      <c r="BO67" s="324"/>
      <c r="BP67" s="324"/>
      <c r="CC67" s="302" t="str">
        <f t="shared" si="38"/>
        <v>中泊/身・療</v>
      </c>
      <c r="CD67" s="147">
        <f t="shared" si="39"/>
        <v>0</v>
      </c>
      <c r="CE67" s="754">
        <f>IF(OR(BV25="",BV25=0),0,49)</f>
        <v>0</v>
      </c>
      <c r="CF67" s="754">
        <v>330</v>
      </c>
      <c r="CG67" s="759">
        <v>49</v>
      </c>
      <c r="CI67" s="301"/>
      <c r="CJ67" s="301"/>
    </row>
    <row r="68" spans="1:88" s="57" customFormat="1" ht="24.95" customHeight="1">
      <c r="A68" s="542">
        <v>43</v>
      </c>
      <c r="B68" s="1920"/>
      <c r="C68" s="1908"/>
      <c r="D68" s="1908"/>
      <c r="E68" s="1908"/>
      <c r="F68" s="1908"/>
      <c r="G68" s="1909"/>
      <c r="H68" s="543"/>
      <c r="I68" s="544"/>
      <c r="J68" s="545"/>
      <c r="K68" s="928"/>
      <c r="L68" s="928"/>
      <c r="M68" s="921"/>
      <c r="N68" s="894">
        <v>73</v>
      </c>
      <c r="O68" s="1920"/>
      <c r="P68" s="1908"/>
      <c r="Q68" s="1908"/>
      <c r="R68" s="1908"/>
      <c r="S68" s="1908"/>
      <c r="T68" s="1909"/>
      <c r="U68" s="543"/>
      <c r="V68" s="544"/>
      <c r="W68" s="545"/>
      <c r="X68" s="928"/>
      <c r="Y68" s="928"/>
      <c r="Z68" s="545"/>
      <c r="BA68" s="83">
        <v>65</v>
      </c>
      <c r="BB68" s="84">
        <f t="shared" si="35"/>
        <v>0</v>
      </c>
      <c r="BC68" s="85">
        <f t="shared" si="36"/>
        <v>0</v>
      </c>
      <c r="BD68" s="86">
        <f t="shared" si="37"/>
        <v>0</v>
      </c>
      <c r="BE68" s="86">
        <f t="shared" si="37"/>
        <v>0</v>
      </c>
      <c r="BF68" s="316">
        <v>4</v>
      </c>
      <c r="BG68" s="322">
        <f>COUNTIFS($U$46:$U$75,1,$W$46:$W$75,"小")</f>
        <v>0</v>
      </c>
      <c r="BH68" s="322">
        <f>COUNTIFS($V$46:$V$75,1,$W$46:$W$75,"小")+COUNTIFS($V$46:$V$75,2,$W$46:$W$75,"小")</f>
        <v>0</v>
      </c>
      <c r="BI68" s="322">
        <f>COUNTIFS($U$46:$U$75,1,$W$46:$W$75,"中")</f>
        <v>0</v>
      </c>
      <c r="BJ68" s="322">
        <f>COUNTIFS($V$46:$V$75,1,$W$46:$W$75,"中")+COUNTIFS($V$46:$V$75,2,$W$46:$W$75,"中")</f>
        <v>0</v>
      </c>
      <c r="BK68" s="322">
        <f>COUNTIFS($U$46:$U$75,1,$W$46:$W$75,"引")</f>
        <v>0</v>
      </c>
      <c r="BL68" s="322">
        <f>COUNTIFS($V$46:$V$75,1,$W$46:$W$75,"引")+COUNTIFS($V$46:$V$75,2,$W$46:$W$75,"引")</f>
        <v>0</v>
      </c>
      <c r="BM68" s="322">
        <f>COUNTIFS($U$46:$U$75,1,$W$46:$W$75,"一")</f>
        <v>0</v>
      </c>
      <c r="BN68" s="322">
        <f>COUNTIFS($V$46:$V$75,1,$W$46:$W$75,"一")+COUNTIFS($V$46:$V$75,2,$W$46:$W$75,"一")</f>
        <v>0</v>
      </c>
      <c r="BO68" s="324"/>
      <c r="BP68" s="324"/>
      <c r="CC68" s="302" t="str">
        <f t="shared" si="38"/>
        <v>中泊/身・精</v>
      </c>
      <c r="CD68" s="147">
        <f t="shared" si="39"/>
        <v>0</v>
      </c>
      <c r="CE68" s="754">
        <f>IF(OR(BV26="",BV26=0),0,48)</f>
        <v>0</v>
      </c>
      <c r="CF68" s="754">
        <v>330</v>
      </c>
      <c r="CG68" s="759">
        <v>48</v>
      </c>
      <c r="CI68" s="301"/>
      <c r="CJ68" s="301"/>
    </row>
    <row r="69" spans="1:88" s="57" customFormat="1" ht="24.95" customHeight="1">
      <c r="A69" s="542">
        <v>44</v>
      </c>
      <c r="B69" s="1920"/>
      <c r="C69" s="1908"/>
      <c r="D69" s="1908"/>
      <c r="E69" s="1908"/>
      <c r="F69" s="1908"/>
      <c r="G69" s="1909"/>
      <c r="H69" s="543"/>
      <c r="I69" s="544"/>
      <c r="J69" s="545"/>
      <c r="K69" s="928"/>
      <c r="L69" s="928"/>
      <c r="M69" s="921"/>
      <c r="N69" s="894">
        <v>74</v>
      </c>
      <c r="O69" s="1920"/>
      <c r="P69" s="1908"/>
      <c r="Q69" s="1908"/>
      <c r="R69" s="1908"/>
      <c r="S69" s="1908"/>
      <c r="T69" s="1909"/>
      <c r="U69" s="543"/>
      <c r="V69" s="544"/>
      <c r="W69" s="545"/>
      <c r="X69" s="928"/>
      <c r="Y69" s="928"/>
      <c r="Z69" s="545"/>
      <c r="BA69" s="83">
        <v>66</v>
      </c>
      <c r="BB69" s="84">
        <f t="shared" si="35"/>
        <v>0</v>
      </c>
      <c r="BC69" s="85">
        <f t="shared" si="36"/>
        <v>0</v>
      </c>
      <c r="BD69" s="86">
        <f t="shared" si="37"/>
        <v>0</v>
      </c>
      <c r="BE69" s="86">
        <f t="shared" si="37"/>
        <v>0</v>
      </c>
      <c r="BF69" s="316">
        <v>5</v>
      </c>
      <c r="BG69" s="322">
        <f>COUNTIFS($H$89:$H$118,1,$J$89:$J$118,"小")</f>
        <v>0</v>
      </c>
      <c r="BH69" s="322">
        <f>COUNTIFS($I$89:$I$118,1,$J$89:$J$118,"小")+COUNTIFS($I$89:$I$118,2,$J$89:$J$118,"小")</f>
        <v>0</v>
      </c>
      <c r="BI69" s="322">
        <f>COUNTIFS($H$89:$H$118,1,$J$89:$J$118,"中")</f>
        <v>0</v>
      </c>
      <c r="BJ69" s="322">
        <f>COUNTIFS($I$89:$I$118,1,$J$89:$J$118,"中")+COUNTIFS($I$89:$I$118,2,$J$89:$J$118,"中")</f>
        <v>0</v>
      </c>
      <c r="BK69" s="322">
        <f>COUNTIFS($H$89:$H$118,1,$J$89:$J$118,"引")</f>
        <v>0</v>
      </c>
      <c r="BL69" s="322">
        <f>COUNTIFS($I$89:$I$118,1,$J$89:$J$118,"引")+COUNTIFS($I$89:$I$118,2,$J$89:$J$118,"引")</f>
        <v>0</v>
      </c>
      <c r="BM69" s="322">
        <f>COUNTIFS($H$89:$H$118,1,$J$89:$J$118,"一")</f>
        <v>0</v>
      </c>
      <c r="BN69" s="322">
        <f>COUNTIFS($I$89:$I$118,1,$J$89:$J$118,"一")+COUNTIFS($I$89:$I$118,2,$J$89:$J$118,"一")</f>
        <v>0</v>
      </c>
      <c r="BO69" s="324"/>
      <c r="BP69" s="324"/>
      <c r="CC69" s="302" t="e">
        <f>$BV$11&amp;#REF!</f>
        <v>#REF!</v>
      </c>
      <c r="CD69" s="147" t="e">
        <f>#REF!</f>
        <v>#REF!</v>
      </c>
      <c r="CE69" s="754" t="e">
        <f>IF(OR(#REF!="",#REF!=0),0,47)</f>
        <v>#REF!</v>
      </c>
      <c r="CF69" s="754">
        <v>330</v>
      </c>
      <c r="CG69" s="759">
        <v>47</v>
      </c>
      <c r="CI69" s="301"/>
      <c r="CJ69" s="301"/>
    </row>
    <row r="70" spans="1:88" s="57" customFormat="1" ht="24.95" customHeight="1">
      <c r="A70" s="542">
        <v>45</v>
      </c>
      <c r="B70" s="1920"/>
      <c r="C70" s="1908"/>
      <c r="D70" s="1908"/>
      <c r="E70" s="1908"/>
      <c r="F70" s="1908"/>
      <c r="G70" s="1909"/>
      <c r="H70" s="543"/>
      <c r="I70" s="544"/>
      <c r="J70" s="545"/>
      <c r="K70" s="928"/>
      <c r="L70" s="928"/>
      <c r="M70" s="921"/>
      <c r="N70" s="894">
        <v>75</v>
      </c>
      <c r="O70" s="1920"/>
      <c r="P70" s="1908"/>
      <c r="Q70" s="1908"/>
      <c r="R70" s="1908"/>
      <c r="S70" s="1908"/>
      <c r="T70" s="1909"/>
      <c r="U70" s="543"/>
      <c r="V70" s="544"/>
      <c r="W70" s="545"/>
      <c r="X70" s="928"/>
      <c r="Y70" s="928"/>
      <c r="Z70" s="545"/>
      <c r="BA70" s="83">
        <v>67</v>
      </c>
      <c r="BB70" s="84">
        <f t="shared" si="35"/>
        <v>0</v>
      </c>
      <c r="BC70" s="85">
        <f t="shared" si="36"/>
        <v>0</v>
      </c>
      <c r="BD70" s="86">
        <f t="shared" si="37"/>
        <v>0</v>
      </c>
      <c r="BE70" s="86">
        <f t="shared" si="37"/>
        <v>0</v>
      </c>
      <c r="BF70" s="316">
        <v>6</v>
      </c>
      <c r="BG70" s="322">
        <f>COUNTIFS($U$89:$U$118,1,$W$89:$W$118,"小")</f>
        <v>0</v>
      </c>
      <c r="BH70" s="322">
        <f>COUNTIFS($V$89:$V$118,1,$W$89:$W$118,"小")+COUNTIFS($V$89:$V$118,2,$W$89:$W$118,"小")</f>
        <v>0</v>
      </c>
      <c r="BI70" s="322">
        <f>COUNTIFS($U$89:$U$118,1,$W$89:$W$118,"中")</f>
        <v>0</v>
      </c>
      <c r="BJ70" s="322">
        <f>COUNTIFS($V$89:$V$118,1,$W$89:$W$118,"中")+COUNTIFS($V$89:$V$118,2,$W$89:$W$118,"中")</f>
        <v>0</v>
      </c>
      <c r="BK70" s="322">
        <f>COUNTIFS($U$89:$U$118,1,$W$89:$W$118,"引")</f>
        <v>0</v>
      </c>
      <c r="BL70" s="322">
        <f>COUNTIFS($V$89:$V$118,1,$W$89:$W$118,"引")+COUNTIFS($V$89:$V$118,2,$W$89:$W$118,"引")</f>
        <v>0</v>
      </c>
      <c r="BM70" s="322">
        <f>COUNTIFS($U$89:$U$118,1,$W$89:$W$118,"一")</f>
        <v>0</v>
      </c>
      <c r="BN70" s="322">
        <f>COUNTIFS($V$89:$V$118,1,$W$89:$W$118,"一")+COUNTIFS($V$89:$V$118,2,$W$89:$W$118,"一")</f>
        <v>0</v>
      </c>
      <c r="BO70" s="324"/>
      <c r="BP70" s="324"/>
      <c r="CC70" s="302" t="e">
        <f>$BV$11&amp;#REF!</f>
        <v>#REF!</v>
      </c>
      <c r="CD70" s="147" t="e">
        <f>#REF!</f>
        <v>#REF!</v>
      </c>
      <c r="CE70" s="754" t="e">
        <f>IF(OR(#REF!="",#REF!=0),0,46)</f>
        <v>#REF!</v>
      </c>
      <c r="CF70" s="754">
        <v>330</v>
      </c>
      <c r="CG70" s="759">
        <v>46</v>
      </c>
      <c r="CI70" s="301"/>
      <c r="CJ70" s="301"/>
    </row>
    <row r="71" spans="1:88" s="57" customFormat="1" ht="24.95" customHeight="1">
      <c r="A71" s="542">
        <v>46</v>
      </c>
      <c r="B71" s="1920"/>
      <c r="C71" s="1908"/>
      <c r="D71" s="1908"/>
      <c r="E71" s="1908"/>
      <c r="F71" s="1908"/>
      <c r="G71" s="1909"/>
      <c r="H71" s="543"/>
      <c r="I71" s="544"/>
      <c r="J71" s="545"/>
      <c r="K71" s="928"/>
      <c r="L71" s="928"/>
      <c r="M71" s="921"/>
      <c r="N71" s="894">
        <v>76</v>
      </c>
      <c r="O71" s="1920"/>
      <c r="P71" s="1908"/>
      <c r="Q71" s="1908"/>
      <c r="R71" s="1908"/>
      <c r="S71" s="1908"/>
      <c r="T71" s="1909"/>
      <c r="U71" s="543"/>
      <c r="V71" s="544"/>
      <c r="W71" s="545"/>
      <c r="X71" s="928"/>
      <c r="Y71" s="928"/>
      <c r="Z71" s="545"/>
      <c r="BA71" s="83">
        <v>68</v>
      </c>
      <c r="BB71" s="84">
        <f t="shared" si="35"/>
        <v>0</v>
      </c>
      <c r="BC71" s="85">
        <f t="shared" si="36"/>
        <v>0</v>
      </c>
      <c r="BD71" s="86">
        <f t="shared" si="37"/>
        <v>0</v>
      </c>
      <c r="BE71" s="86">
        <f t="shared" si="37"/>
        <v>0</v>
      </c>
      <c r="BF71" s="316">
        <v>7</v>
      </c>
      <c r="BG71" s="322">
        <f>COUNTIFS($H$132:$H$161,1,$J$132:$J$161,"小")</f>
        <v>0</v>
      </c>
      <c r="BH71" s="322">
        <f>COUNTIFS($I$132:$I$161,1,$J$132:$J$161,"小")+COUNTIFS($I$132:$I$161,2,$J$132:$J$161,"小")</f>
        <v>0</v>
      </c>
      <c r="BI71" s="322">
        <f>COUNTIFS($H$132:$H$161,1,$J$132:$J$161,"中")</f>
        <v>0</v>
      </c>
      <c r="BJ71" s="322">
        <f>COUNTIFS($I$132:$I$161,1,$J$132:$J$161,"中")+COUNTIFS($I$132:$I$161,2,$J$132:$J$161,"中")</f>
        <v>0</v>
      </c>
      <c r="BK71" s="322">
        <f>COUNTIFS($H$132:$H$161,1,$J$132:$J$161,"引")</f>
        <v>0</v>
      </c>
      <c r="BL71" s="322">
        <f>COUNTIFS($I$132:$I$161,1,$J$132:$J$161,"引")+COUNTIFS($I$132:$I$161,2,$J$132:$J$161,"引")</f>
        <v>0</v>
      </c>
      <c r="BM71" s="322">
        <f>COUNTIFS($H$132:$H$161,1,$J$132:$J$161,"一")</f>
        <v>0</v>
      </c>
      <c r="BN71" s="322">
        <f>COUNTIFS($I$132:$I$161,1,$J$132:$J$161,"一")+COUNTIFS($I$132:$I$161,2,$J$132:$J$161,"一")</f>
        <v>0</v>
      </c>
      <c r="BO71" s="324"/>
      <c r="BP71" s="324"/>
      <c r="CC71" s="302" t="e">
        <f>$BV$11&amp;#REF!</f>
        <v>#REF!</v>
      </c>
      <c r="CD71" s="147" t="e">
        <f>#REF!</f>
        <v>#REF!</v>
      </c>
      <c r="CE71" s="754" t="e">
        <f>IF(OR(#REF!="",#REF!=0),0,45)</f>
        <v>#REF!</v>
      </c>
      <c r="CF71" s="754">
        <v>330</v>
      </c>
      <c r="CG71" s="759">
        <v>45</v>
      </c>
      <c r="CI71" s="301"/>
      <c r="CJ71" s="301"/>
    </row>
    <row r="72" spans="1:88" s="57" customFormat="1" ht="24.95" customHeight="1">
      <c r="A72" s="542">
        <v>47</v>
      </c>
      <c r="B72" s="1920"/>
      <c r="C72" s="1908"/>
      <c r="D72" s="1908"/>
      <c r="E72" s="1908"/>
      <c r="F72" s="1908"/>
      <c r="G72" s="1909"/>
      <c r="H72" s="543"/>
      <c r="I72" s="544"/>
      <c r="J72" s="545"/>
      <c r="K72" s="928"/>
      <c r="L72" s="928"/>
      <c r="M72" s="921"/>
      <c r="N72" s="894">
        <v>77</v>
      </c>
      <c r="O72" s="1907"/>
      <c r="P72" s="1908"/>
      <c r="Q72" s="1908"/>
      <c r="R72" s="1908"/>
      <c r="S72" s="1908"/>
      <c r="T72" s="1909"/>
      <c r="U72" s="543"/>
      <c r="V72" s="544"/>
      <c r="W72" s="545"/>
      <c r="X72" s="928"/>
      <c r="Y72" s="928"/>
      <c r="Z72" s="545"/>
      <c r="BA72" s="83">
        <v>69</v>
      </c>
      <c r="BB72" s="84">
        <f t="shared" si="35"/>
        <v>0</v>
      </c>
      <c r="BC72" s="85">
        <f t="shared" si="36"/>
        <v>0</v>
      </c>
      <c r="BD72" s="86">
        <f t="shared" si="37"/>
        <v>0</v>
      </c>
      <c r="BE72" s="86">
        <f t="shared" si="37"/>
        <v>0</v>
      </c>
      <c r="BF72" s="316">
        <v>8</v>
      </c>
      <c r="BG72" s="322">
        <f>COUNTIFS($U$132:$U$161,1,$W$132:$W$161,"小")</f>
        <v>0</v>
      </c>
      <c r="BH72" s="322">
        <f>COUNTIFS($V$132:$V$161,1,$W$132:$W$161,"小")+COUNTIFS($V$132:$V$161,2,$W$132:$W$161,"小")</f>
        <v>0</v>
      </c>
      <c r="BI72" s="322">
        <f>COUNTIFS($U$132:$U$161,1,$W$132:$W$161,"中")</f>
        <v>0</v>
      </c>
      <c r="BJ72" s="322">
        <f>COUNTIFS($V$132:$V$161,1,$W$132:$W$161,"中")+COUNTIFS($V$132:$V$161,2,$W$132:$W$161,"中")</f>
        <v>0</v>
      </c>
      <c r="BK72" s="322">
        <f>COUNTIFS($U$132:$U$161,1,$W$132:$W$161,"引")</f>
        <v>0</v>
      </c>
      <c r="BL72" s="322">
        <f>COUNTIFS($V$132:$V$161,1,$W$132:$W$161,"引")+COUNTIFS($V$132:$V$161,2,$W$132:$W$161,"引")</f>
        <v>0</v>
      </c>
      <c r="BM72" s="322">
        <f>COUNTIFS($U$132:$U$161,1,$W$132:$W$161,"一")</f>
        <v>0</v>
      </c>
      <c r="BN72" s="322">
        <f>COUNTIFS($V$132:$V$161,1,$W$132:$W$161,"一")+COUNTIFS($V$132:$V$161,2,$W$132:$W$161,"一")</f>
        <v>0</v>
      </c>
      <c r="BO72" s="324"/>
      <c r="BP72" s="324"/>
      <c r="CC72" s="302" t="e">
        <f>$BV$11&amp;#REF!</f>
        <v>#REF!</v>
      </c>
      <c r="CD72" s="147" t="e">
        <f>#REF!</f>
        <v>#REF!</v>
      </c>
      <c r="CE72" s="754" t="e">
        <f>IF(OR(#REF!="",#REF!=0),0,44)</f>
        <v>#REF!</v>
      </c>
      <c r="CF72" s="754">
        <v>330</v>
      </c>
      <c r="CG72" s="759">
        <v>44</v>
      </c>
      <c r="CI72" s="301"/>
      <c r="CJ72" s="301"/>
    </row>
    <row r="73" spans="1:88" s="57" customFormat="1" ht="24.95" customHeight="1">
      <c r="A73" s="542">
        <v>48</v>
      </c>
      <c r="B73" s="1920"/>
      <c r="C73" s="1908"/>
      <c r="D73" s="1908"/>
      <c r="E73" s="1908"/>
      <c r="F73" s="1908"/>
      <c r="G73" s="1909"/>
      <c r="H73" s="543"/>
      <c r="I73" s="544"/>
      <c r="J73" s="545"/>
      <c r="K73" s="928"/>
      <c r="L73" s="928"/>
      <c r="M73" s="921"/>
      <c r="N73" s="894">
        <v>78</v>
      </c>
      <c r="O73" s="1907"/>
      <c r="P73" s="1908"/>
      <c r="Q73" s="1908"/>
      <c r="R73" s="1908"/>
      <c r="S73" s="1908"/>
      <c r="T73" s="1909"/>
      <c r="U73" s="543"/>
      <c r="V73" s="544"/>
      <c r="W73" s="545"/>
      <c r="X73" s="928"/>
      <c r="Y73" s="928"/>
      <c r="Z73" s="545"/>
      <c r="BA73" s="83">
        <v>70</v>
      </c>
      <c r="BB73" s="84">
        <f t="shared" si="35"/>
        <v>0</v>
      </c>
      <c r="BC73" s="85">
        <f t="shared" si="36"/>
        <v>0</v>
      </c>
      <c r="BD73" s="86">
        <f t="shared" si="37"/>
        <v>0</v>
      </c>
      <c r="BE73" s="86">
        <f t="shared" si="37"/>
        <v>0</v>
      </c>
      <c r="BF73" s="316">
        <v>9</v>
      </c>
      <c r="BG73" s="192">
        <f>COUNTIFS($H$175:$H$204,1,$J$175:$J$204,"小")</f>
        <v>0</v>
      </c>
      <c r="BH73" s="322">
        <f>COUNTIFS($I$175:$I$204,1,$J$175:$J$204,"小")+COUNTIFS($I$175:$I$204,2,$J$175:$J$204,"小")</f>
        <v>0</v>
      </c>
      <c r="BI73" s="192">
        <f>COUNTIFS($H$175:$H$204,1,$J$175:$J$204,"中")</f>
        <v>0</v>
      </c>
      <c r="BJ73" s="322">
        <f>COUNTIFS($I$175:$I$204,1,$J$175:$J$204,"中")+COUNTIFS($I$175:$I$204,2,$J$175:$J$204,"中")</f>
        <v>0</v>
      </c>
      <c r="BK73" s="192">
        <f>COUNTIFS($H$175:$H$204,1,$J$175:$J$204,"引")</f>
        <v>0</v>
      </c>
      <c r="BL73" s="322">
        <f>COUNTIFS($I$175:$I$204,1,$J$175:$J$204,"引")+COUNTIFS($I$175:$I$204,2,$J$175:$J$204,"引")</f>
        <v>0</v>
      </c>
      <c r="BM73" s="192">
        <f>COUNTIFS($H$175:$H$204,1,$J$175:$J$204,"一")</f>
        <v>0</v>
      </c>
      <c r="BN73" s="322">
        <f>COUNTIFS($I$175:$I$204,1,$J$175:$J$204,"一")+COUNTIFS($I$175:$I$204,2,$J$175:$J$204,"一")</f>
        <v>0</v>
      </c>
      <c r="BO73" s="324"/>
      <c r="BP73" s="324"/>
      <c r="CC73" s="302" t="e">
        <f>$BV$11&amp;#REF!</f>
        <v>#REF!</v>
      </c>
      <c r="CD73" s="147" t="e">
        <f>#REF!</f>
        <v>#REF!</v>
      </c>
      <c r="CE73" s="754" t="e">
        <f>IF(OR(#REF!="",#REF!=0),0,43)</f>
        <v>#REF!</v>
      </c>
      <c r="CF73" s="754">
        <v>330</v>
      </c>
      <c r="CG73" s="759">
        <v>43</v>
      </c>
      <c r="CI73" s="301"/>
      <c r="CJ73" s="301"/>
    </row>
    <row r="74" spans="1:88" s="57" customFormat="1" ht="24.95" customHeight="1">
      <c r="A74" s="542">
        <v>49</v>
      </c>
      <c r="B74" s="1920"/>
      <c r="C74" s="1908"/>
      <c r="D74" s="1908"/>
      <c r="E74" s="1908"/>
      <c r="F74" s="1908"/>
      <c r="G74" s="1909"/>
      <c r="H74" s="543"/>
      <c r="I74" s="544"/>
      <c r="J74" s="545"/>
      <c r="K74" s="928"/>
      <c r="L74" s="928"/>
      <c r="M74" s="921"/>
      <c r="N74" s="894">
        <v>79</v>
      </c>
      <c r="O74" s="1907"/>
      <c r="P74" s="1908"/>
      <c r="Q74" s="1908"/>
      <c r="R74" s="1908"/>
      <c r="S74" s="1908"/>
      <c r="T74" s="1909"/>
      <c r="U74" s="543"/>
      <c r="V74" s="544"/>
      <c r="W74" s="545"/>
      <c r="X74" s="928"/>
      <c r="Y74" s="928"/>
      <c r="Z74" s="545"/>
      <c r="BA74" s="83">
        <v>71</v>
      </c>
      <c r="BB74" s="84">
        <f t="shared" si="35"/>
        <v>0</v>
      </c>
      <c r="BC74" s="85">
        <f t="shared" si="36"/>
        <v>0</v>
      </c>
      <c r="BD74" s="86">
        <f t="shared" si="37"/>
        <v>0</v>
      </c>
      <c r="BE74" s="86">
        <f t="shared" si="37"/>
        <v>0</v>
      </c>
      <c r="BF74" s="316">
        <v>10</v>
      </c>
      <c r="BG74" s="192">
        <f>COUNTIFS($U$175:$U$204,1,$W$175:$W$204,"小")</f>
        <v>0</v>
      </c>
      <c r="BH74" s="322">
        <f>COUNTIFS($V$175:$V$204,1,$W$175:$W$204,"小")+COUNTIFS($V$175:$V$204,2,$W$175:$W$204,"小")</f>
        <v>0</v>
      </c>
      <c r="BI74" s="192">
        <f>COUNTIFS($U$175:$U$204,1,$W$175:$W$204,"中")</f>
        <v>0</v>
      </c>
      <c r="BJ74" s="322">
        <f>COUNTIFS($V$175:$V$204,1,$W$175:$W$204,"中")+COUNTIFS($V$175:$V$204,2,$W$175:$W$204,"中")</f>
        <v>0</v>
      </c>
      <c r="BK74" s="192">
        <f>COUNTIFS($U$175:$U$204,1,$W$175:$W$204,"引")</f>
        <v>0</v>
      </c>
      <c r="BL74" s="322">
        <f>COUNTIFS($V$175:$V$204,1,$W$175:$W$204,"引")+COUNTIFS($V$175:$V$204,2,$W$175:$W$204,"引")</f>
        <v>0</v>
      </c>
      <c r="BM74" s="192">
        <f>COUNTIFS($U$175:$U$204,1,$W$175:$W$204,"一")</f>
        <v>0</v>
      </c>
      <c r="BN74" s="322">
        <f>COUNTIFS($V$175:$V$204,1,$W$175:$W$204,"一")+COUNTIFS($V$175:$V$204,2,$W$175:$W$204,"一")</f>
        <v>0</v>
      </c>
      <c r="BO74" s="324"/>
      <c r="BP74" s="324"/>
      <c r="CC74" s="302" t="e">
        <f>$BV$11&amp;#REF!</f>
        <v>#REF!</v>
      </c>
      <c r="CD74" s="147" t="e">
        <f>#REF!</f>
        <v>#REF!</v>
      </c>
      <c r="CE74" s="754" t="e">
        <f>IF(OR(#REF!="",#REF!=0),0,42)</f>
        <v>#REF!</v>
      </c>
      <c r="CF74" s="754">
        <v>330</v>
      </c>
      <c r="CG74" s="759">
        <v>42</v>
      </c>
      <c r="CI74" s="301"/>
      <c r="CJ74" s="301"/>
    </row>
    <row r="75" spans="1:88" s="57" customFormat="1" ht="24.95" customHeight="1">
      <c r="A75" s="542">
        <v>50</v>
      </c>
      <c r="B75" s="1920"/>
      <c r="C75" s="1908"/>
      <c r="D75" s="1908"/>
      <c r="E75" s="1908"/>
      <c r="F75" s="1908"/>
      <c r="G75" s="1909"/>
      <c r="H75" s="543"/>
      <c r="I75" s="544"/>
      <c r="J75" s="545"/>
      <c r="K75" s="928"/>
      <c r="L75" s="928"/>
      <c r="M75" s="921"/>
      <c r="N75" s="894">
        <v>80</v>
      </c>
      <c r="O75" s="1907"/>
      <c r="P75" s="1908"/>
      <c r="Q75" s="1908"/>
      <c r="R75" s="1908"/>
      <c r="S75" s="1908"/>
      <c r="T75" s="1909"/>
      <c r="U75" s="543"/>
      <c r="V75" s="544"/>
      <c r="W75" s="545"/>
      <c r="X75" s="928"/>
      <c r="Y75" s="928"/>
      <c r="Z75" s="545"/>
      <c r="BA75" s="83">
        <v>72</v>
      </c>
      <c r="BB75" s="84">
        <f t="shared" si="35"/>
        <v>0</v>
      </c>
      <c r="BC75" s="85">
        <f t="shared" si="36"/>
        <v>0</v>
      </c>
      <c r="BD75" s="86">
        <f t="shared" si="37"/>
        <v>0</v>
      </c>
      <c r="BE75" s="86">
        <f t="shared" si="37"/>
        <v>0</v>
      </c>
      <c r="BF75" s="316">
        <v>11</v>
      </c>
      <c r="BG75" s="192">
        <f>COUNTIFS($H$218:$H$247,1,$J$218:$J$247,"小")</f>
        <v>0</v>
      </c>
      <c r="BH75" s="322">
        <f>COUNTIFS($I$218:$I$247,1,$J$218:$J$247,"小")+COUNTIFS($I$218:$I$247,2,$J$218:$J$247,"小")</f>
        <v>0</v>
      </c>
      <c r="BI75" s="192">
        <f>COUNTIFS($H$218:$H$247,1,$J$218:$J$247,"中")</f>
        <v>0</v>
      </c>
      <c r="BJ75" s="322">
        <f>COUNTIFS($I$218:$I$247,1,$J$218:$J$247,"中")+COUNTIFS($I$218:$I$247,2,$J$218:$J$247,"中")</f>
        <v>0</v>
      </c>
      <c r="BK75" s="192">
        <f>COUNTIFS($H$218:$H$247,1,$J$218:$J$247,"引")</f>
        <v>0</v>
      </c>
      <c r="BL75" s="322">
        <f>COUNTIFS($I$218:$I$247,1,$J$218:$J$247,"引")+COUNTIFS($I$218:$I$247,2,$J$218:$J$247,"引")</f>
        <v>0</v>
      </c>
      <c r="BM75" s="192">
        <f>COUNTIFS($H$218:$H$247,1,$J$218:$J$247,"一")</f>
        <v>0</v>
      </c>
      <c r="BN75" s="322">
        <f>COUNTIFS($I$218:$I$247,1,$J$218:$J$247,"一")+COUNTIFS($I$218:$I$247,2,$J$218:$J$247,"一")</f>
        <v>0</v>
      </c>
      <c r="BO75" s="324"/>
      <c r="BP75" s="324"/>
      <c r="CC75" s="302" t="e">
        <f>$BV$11&amp;#REF!</f>
        <v>#REF!</v>
      </c>
      <c r="CD75" s="147" t="e">
        <f>#REF!</f>
        <v>#REF!</v>
      </c>
      <c r="CE75" s="754" t="e">
        <f>IF(OR(#REF!="",#REF!=0),0,41)</f>
        <v>#REF!</v>
      </c>
      <c r="CF75" s="754">
        <v>330</v>
      </c>
      <c r="CG75" s="759">
        <v>41</v>
      </c>
      <c r="CI75" s="301"/>
      <c r="CJ75" s="301"/>
    </row>
    <row r="76" spans="1:88" s="57" customFormat="1" ht="24" customHeight="1" thickBot="1">
      <c r="A76" s="558"/>
      <c r="B76" s="555"/>
      <c r="C76" s="555"/>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BA76" s="83">
        <v>73</v>
      </c>
      <c r="BB76" s="84">
        <f t="shared" si="35"/>
        <v>0</v>
      </c>
      <c r="BC76" s="85">
        <f t="shared" si="36"/>
        <v>0</v>
      </c>
      <c r="BD76" s="86">
        <f t="shared" si="37"/>
        <v>0</v>
      </c>
      <c r="BE76" s="86">
        <f t="shared" si="37"/>
        <v>0</v>
      </c>
      <c r="BF76" s="325">
        <v>12</v>
      </c>
      <c r="BG76" s="326">
        <f>COUNTIFS($U$218:$U$247,1,$W$218:$W$247,"小")</f>
        <v>0</v>
      </c>
      <c r="BH76" s="327">
        <f>COUNTIFS($V$218:$V$247,1,$W$218:$W$247,"小")+COUNTIFS($V$218:$V$247,2,$W$218:$W$247,"小")</f>
        <v>0</v>
      </c>
      <c r="BI76" s="326">
        <f>COUNTIFS($U$218:$U$247,1,$W$218:$W$247,"中")</f>
        <v>0</v>
      </c>
      <c r="BJ76" s="327">
        <f>COUNTIFS($V$218:$V$247,1,$W$218:$W$247,"中")+COUNTIFS($V$218:$V$247,2,$W$218:$W$247,"中")</f>
        <v>0</v>
      </c>
      <c r="BK76" s="326">
        <f>COUNTIFS($U$218:$U$247,1,$W$218:$W$247,"引")</f>
        <v>0</v>
      </c>
      <c r="BL76" s="327">
        <f>COUNTIFS($V$218:$V$247,1,$W$218:$W$247,"引")+COUNTIFS($V$218:$V$247,2,$W$218:$W$247,"引")</f>
        <v>0</v>
      </c>
      <c r="BM76" s="326">
        <f>COUNTIFS($U$218:$U$247,1,$W$218:$W$247,"一")</f>
        <v>0</v>
      </c>
      <c r="BN76" s="327">
        <f>COUNTIFS($V$218:$V$247,1,$W$218:$W$247,"一")+COUNTIFS($V$218:$V$247,2,$W$218:$W$247,"一")</f>
        <v>0</v>
      </c>
      <c r="BO76" s="324"/>
      <c r="BP76" s="324"/>
      <c r="CC76" s="302" t="e">
        <f>$BV$11&amp;#REF!</f>
        <v>#REF!</v>
      </c>
      <c r="CD76" s="147" t="e">
        <f>#REF!</f>
        <v>#REF!</v>
      </c>
      <c r="CE76" s="754" t="e">
        <f>IF(OR(#REF!="",#REF!=0),0,40)</f>
        <v>#REF!</v>
      </c>
      <c r="CF76" s="754">
        <v>330</v>
      </c>
      <c r="CG76" s="759">
        <v>40</v>
      </c>
      <c r="CI76" s="301"/>
      <c r="CJ76" s="301"/>
    </row>
    <row r="77" spans="1:88" s="57" customFormat="1" ht="24.95" customHeight="1" thickBot="1">
      <c r="A77" s="1324" t="s">
        <v>476</v>
      </c>
      <c r="B77" s="1324"/>
      <c r="C77" s="1324"/>
      <c r="D77" s="1324"/>
      <c r="E77" s="1324"/>
      <c r="F77" s="1324"/>
      <c r="G77" s="1324"/>
      <c r="H77" s="1324"/>
      <c r="I77" s="1324"/>
      <c r="J77" s="1324"/>
      <c r="K77" s="1324"/>
      <c r="L77" s="1324"/>
      <c r="M77" s="1324"/>
      <c r="N77" s="1324"/>
      <c r="O77" s="1324"/>
      <c r="P77" s="1324"/>
      <c r="Q77" s="1324"/>
      <c r="R77" s="1324"/>
      <c r="S77" s="1324"/>
      <c r="T77" s="1324"/>
      <c r="U77" s="1324"/>
      <c r="V77" s="1324"/>
      <c r="W77" s="1324"/>
      <c r="X77" s="1324"/>
      <c r="Y77" s="1324"/>
      <c r="Z77" s="1324"/>
      <c r="AD77" s="740"/>
      <c r="AE77" s="741"/>
      <c r="BA77" s="83">
        <v>74</v>
      </c>
      <c r="BB77" s="84">
        <f t="shared" si="35"/>
        <v>0</v>
      </c>
      <c r="BC77" s="85">
        <f t="shared" si="36"/>
        <v>0</v>
      </c>
      <c r="BD77" s="86">
        <f t="shared" si="37"/>
        <v>0</v>
      </c>
      <c r="BE77" s="86">
        <f t="shared" si="37"/>
        <v>0</v>
      </c>
      <c r="BF77" s="329" t="s">
        <v>1871</v>
      </c>
      <c r="BG77" s="330">
        <f>SUM(BG65:BG76)</f>
        <v>0</v>
      </c>
      <c r="BH77" s="330">
        <f t="shared" ref="BH77:BN77" si="40">SUM(BH65:BH76)</f>
        <v>0</v>
      </c>
      <c r="BI77" s="330">
        <f t="shared" si="40"/>
        <v>0</v>
      </c>
      <c r="BJ77" s="330">
        <f t="shared" si="40"/>
        <v>0</v>
      </c>
      <c r="BK77" s="330">
        <f t="shared" si="40"/>
        <v>0</v>
      </c>
      <c r="BL77" s="330">
        <f t="shared" si="40"/>
        <v>0</v>
      </c>
      <c r="BM77" s="330">
        <f t="shared" si="40"/>
        <v>0</v>
      </c>
      <c r="BN77" s="331">
        <f t="shared" si="40"/>
        <v>0</v>
      </c>
      <c r="BO77" s="324"/>
      <c r="BP77" s="324"/>
      <c r="CC77" s="302" t="e">
        <f>$BV$11&amp;#REF!</f>
        <v>#REF!</v>
      </c>
      <c r="CD77" s="147" t="e">
        <f>#REF!</f>
        <v>#REF!</v>
      </c>
      <c r="CE77" s="754" t="e">
        <f>IF(OR(#REF!="",#REF!=0),0,39)</f>
        <v>#REF!</v>
      </c>
      <c r="CF77" s="754">
        <v>330</v>
      </c>
      <c r="CG77" s="759">
        <v>39</v>
      </c>
      <c r="CI77" s="301"/>
      <c r="CJ77" s="301"/>
    </row>
    <row r="78" spans="1:88" ht="24" thickBot="1">
      <c r="A78" s="534">
        <f>COUNTIFS(K89:K118,"a",H89:H118,"&gt;0")</f>
        <v>0</v>
      </c>
      <c r="B78" s="534">
        <f>COUNTIFS(X89:X118,"a",U89:U118,"&gt;0")</f>
        <v>0</v>
      </c>
      <c r="C78" s="534">
        <f>COUNTIFS(K89:K118,"b",H89:H118,"&gt;0")</f>
        <v>0</v>
      </c>
      <c r="D78" s="534">
        <f>COUNTIFS(X89:X118,"b",U89:U118,"&gt;0")</f>
        <v>0</v>
      </c>
      <c r="E78" s="534">
        <f>COUNTIFS(K89:K118,"c",H89:H118,"&gt;0")</f>
        <v>0</v>
      </c>
      <c r="F78" s="534">
        <f>COUNTIFS(X89:X118,"c",U89:U118,"&gt;0")</f>
        <v>0</v>
      </c>
      <c r="G78" s="534">
        <f>COUNTIFS(K89:K118,"d",H89:H118,"&gt;0")</f>
        <v>0</v>
      </c>
      <c r="H78" s="534">
        <f>COUNTIFS(X89:X118,"d",U89:U118,"&gt;0")</f>
        <v>0</v>
      </c>
      <c r="I78" s="534">
        <f>COUNTIFS(K89:K118,"e",H89:H118,"&gt;0")</f>
        <v>0</v>
      </c>
      <c r="J78" s="534">
        <f>COUNTIFS(X89:X118,"e",U89:U118,"&gt;0")</f>
        <v>0</v>
      </c>
      <c r="K78" s="534">
        <f>COUNTIFS(K89:K118,"f",H89:H118,"&gt;0")</f>
        <v>0</v>
      </c>
      <c r="L78" s="534">
        <f>COUNTIFS(X89:X118,"f",U89:U118,"&gt;0")</f>
        <v>0</v>
      </c>
      <c r="M78" s="534">
        <f>COUNTIFS(K89:K118,"g",H89:H118,"&gt;0")</f>
        <v>0</v>
      </c>
      <c r="N78" s="534">
        <f>COUNTIFS(X89:X118,"g",U89:U118,"&gt;0")</f>
        <v>0</v>
      </c>
      <c r="O78" s="534">
        <f>COUNTIFS(K89:K118,"h",H89:H118,"&gt;0")</f>
        <v>0</v>
      </c>
      <c r="P78" s="534">
        <f>COUNTIFS(X89:X118,"h",U89:U118,"&gt;0")</f>
        <v>0</v>
      </c>
      <c r="Q78" s="534">
        <f>COUNTIFS(K89:K118,"i",H89:H118,"&gt;0")</f>
        <v>0</v>
      </c>
      <c r="R78" s="534">
        <f>COUNTIFS(X89:X118,"i",U89:U118,"&gt;0")</f>
        <v>0</v>
      </c>
      <c r="S78" s="535">
        <f>SUM(A78:R78)</f>
        <v>0</v>
      </c>
      <c r="T78" s="535"/>
      <c r="U78" s="535"/>
      <c r="V78" s="535"/>
      <c r="W78" s="1906" t="s">
        <v>481</v>
      </c>
      <c r="X78" s="1906"/>
      <c r="Y78" s="1906">
        <v>3</v>
      </c>
      <c r="Z78" s="1906"/>
      <c r="AA78" s="14"/>
      <c r="AB78" s="14"/>
      <c r="AC78" s="14"/>
      <c r="AD78" s="742"/>
      <c r="AE78" s="741"/>
      <c r="AF78" s="14"/>
      <c r="AG78" s="14"/>
      <c r="AH78" s="14"/>
      <c r="AI78" s="14"/>
      <c r="AJ78" s="14"/>
      <c r="AK78" s="14"/>
      <c r="AL78" s="14"/>
      <c r="AM78" s="14"/>
      <c r="AN78" s="14"/>
      <c r="AO78" s="14"/>
      <c r="AP78" s="14"/>
      <c r="AQ78" s="14"/>
      <c r="AR78" s="14"/>
      <c r="AS78" s="14"/>
      <c r="AT78" s="14"/>
      <c r="AU78" s="14"/>
      <c r="AV78" s="14"/>
      <c r="AW78" s="14"/>
      <c r="AX78" s="14"/>
      <c r="AY78" s="14"/>
      <c r="AZ78" s="14"/>
      <c r="BA78" s="83">
        <v>75</v>
      </c>
      <c r="BB78" s="84">
        <f t="shared" si="35"/>
        <v>0</v>
      </c>
      <c r="BC78" s="85">
        <f t="shared" si="36"/>
        <v>0</v>
      </c>
      <c r="BD78" s="86">
        <f t="shared" si="37"/>
        <v>0</v>
      </c>
      <c r="BE78" s="86">
        <f t="shared" si="37"/>
        <v>0</v>
      </c>
      <c r="BF78" s="328"/>
      <c r="BG78" s="56"/>
      <c r="BH78" s="56"/>
      <c r="BI78" s="56"/>
      <c r="BJ78" s="323"/>
      <c r="BK78" s="324"/>
      <c r="BL78" s="324">
        <f t="shared" ref="BL78:BL92" si="41">I61</f>
        <v>0</v>
      </c>
      <c r="BM78" s="324"/>
      <c r="BN78" s="323"/>
      <c r="BO78" s="324"/>
      <c r="BP78" s="324"/>
      <c r="BQ78" s="56"/>
      <c r="CC78" s="302" t="e">
        <f>$BV$11&amp;#REF!</f>
        <v>#REF!</v>
      </c>
      <c r="CD78" s="147" t="e">
        <f>#REF!</f>
        <v>#REF!</v>
      </c>
      <c r="CE78" s="754" t="e">
        <f>IF(OR(#REF!="",#REF!=0),0,38)</f>
        <v>#REF!</v>
      </c>
      <c r="CF78" s="754">
        <v>330</v>
      </c>
      <c r="CG78" s="759">
        <v>38</v>
      </c>
    </row>
    <row r="79" spans="1:88" s="55" customFormat="1" ht="23.25">
      <c r="A79" s="534">
        <f>COUNTIFS(K89:K118,"a",I89:I118,"&gt;0")</f>
        <v>0</v>
      </c>
      <c r="B79" s="534">
        <f>COUNTIFS(X89:X118,"a",V89:V118,"&gt;0")</f>
        <v>0</v>
      </c>
      <c r="C79" s="534">
        <f>COUNTIFS(K89:K118,"b",I89:I118,"&gt;0")</f>
        <v>0</v>
      </c>
      <c r="D79" s="534">
        <f>COUNTIFS(X89:X118,"b",V89:V118,"&gt;0")</f>
        <v>0</v>
      </c>
      <c r="E79" s="534">
        <f>COUNTIFS(K89:K118,"c",I89:I118,"&gt;0")</f>
        <v>0</v>
      </c>
      <c r="F79" s="534">
        <f>COUNTIFS(X89:X118,"c",V89:V118,"&gt;0")</f>
        <v>0</v>
      </c>
      <c r="G79" s="534">
        <f>COUNTIFS(K89:K118,"d",I89:I118,"&gt;0")</f>
        <v>0</v>
      </c>
      <c r="H79" s="534">
        <f>COUNTIFS(X89:X118,"d",V89:V118,"&gt;0")</f>
        <v>0</v>
      </c>
      <c r="I79" s="534">
        <f>COUNTIFS(K89:K118,"e",I89:I118,"&gt;0")</f>
        <v>0</v>
      </c>
      <c r="J79" s="534">
        <f>COUNTIFS(X89:X118,"e",V89:V118,"&gt;0")</f>
        <v>0</v>
      </c>
      <c r="K79" s="534">
        <f>COUNTIFS(K89:K118,"f",I89:I118,"&gt;0")</f>
        <v>0</v>
      </c>
      <c r="L79" s="534">
        <f>COUNTIFS(X89:X118,"f",V89:V118,"&gt;0")</f>
        <v>0</v>
      </c>
      <c r="M79" s="534">
        <f>COUNTIFS(K89:K118,"g",I89:I118,"&gt;0")</f>
        <v>0</v>
      </c>
      <c r="N79" s="534">
        <f>COUNTIFS(X89:X118,"g",V89:V118,"&gt;0")</f>
        <v>0</v>
      </c>
      <c r="O79" s="534">
        <f>COUNTIFS(K89:K118,"h",I89:I118,"&gt;0")</f>
        <v>0</v>
      </c>
      <c r="P79" s="534">
        <f>COUNTIFS(X89:X118,"h",V89:V118,"&gt;0")</f>
        <v>0</v>
      </c>
      <c r="Q79" s="534">
        <f>COUNTIFS(K89:K118,"i",I89:I118,"&gt;0")</f>
        <v>0</v>
      </c>
      <c r="R79" s="534">
        <f>COUNTIFS(X89:X118,"i",V89:V118,"&gt;0")</f>
        <v>0</v>
      </c>
      <c r="S79" s="535">
        <f>SUM(A79:R79)</f>
        <v>0</v>
      </c>
      <c r="T79" s="535"/>
      <c r="U79" s="535"/>
      <c r="V79" s="535"/>
      <c r="W79" s="536"/>
      <c r="X79" s="536"/>
      <c r="Y79" s="536"/>
      <c r="Z79" s="536"/>
      <c r="AA79" s="14"/>
      <c r="AB79" s="14"/>
      <c r="AC79" s="14"/>
      <c r="AD79" s="742"/>
      <c r="AE79" s="741"/>
      <c r="AF79" s="14"/>
      <c r="AG79" s="14"/>
      <c r="AH79" s="14"/>
      <c r="AJ79" s="14"/>
      <c r="AK79" s="14"/>
      <c r="AL79" s="14"/>
      <c r="AM79" s="14"/>
      <c r="AN79" s="14"/>
      <c r="AO79" s="14"/>
      <c r="AP79" s="14"/>
      <c r="AQ79" s="14"/>
      <c r="AR79" s="14"/>
      <c r="AS79" s="14"/>
      <c r="AT79" s="14"/>
      <c r="AU79" s="14"/>
      <c r="AV79" s="14"/>
      <c r="AW79" s="14"/>
      <c r="AX79" s="14"/>
      <c r="AY79" s="14"/>
      <c r="AZ79" s="14"/>
      <c r="BA79" s="83">
        <v>76</v>
      </c>
      <c r="BB79" s="84">
        <f t="shared" si="35"/>
        <v>0</v>
      </c>
      <c r="BC79" s="85">
        <f t="shared" si="36"/>
        <v>0</v>
      </c>
      <c r="BD79" s="86">
        <f t="shared" si="37"/>
        <v>0</v>
      </c>
      <c r="BE79" s="86">
        <f t="shared" si="37"/>
        <v>0</v>
      </c>
      <c r="BF79" s="328"/>
      <c r="BG79" s="56"/>
      <c r="BH79" s="56"/>
      <c r="BI79" s="56"/>
      <c r="BJ79" s="323"/>
      <c r="BK79" s="324"/>
      <c r="BL79" s="324">
        <f t="shared" si="41"/>
        <v>0</v>
      </c>
      <c r="BM79" s="324"/>
      <c r="BN79" s="323"/>
      <c r="BO79" s="324"/>
      <c r="BP79" s="324"/>
      <c r="BQ79" s="56"/>
      <c r="BT79" s="77"/>
      <c r="BU79" s="77"/>
      <c r="BV79" s="77"/>
      <c r="BW79" s="77"/>
      <c r="CC79" s="302" t="str">
        <f t="shared" ref="CC79" si="42">$BV$11&amp;BF28</f>
        <v>中泊/特・療・精</v>
      </c>
      <c r="CD79" s="147">
        <f t="shared" ref="CD79" si="43">BV28</f>
        <v>0</v>
      </c>
      <c r="CE79" s="754">
        <f>IF(OR(BV28="",BV28=0),0,37)</f>
        <v>0</v>
      </c>
      <c r="CF79" s="754">
        <v>330</v>
      </c>
      <c r="CG79" s="759">
        <v>37</v>
      </c>
      <c r="CI79" s="313"/>
      <c r="CJ79" s="313"/>
    </row>
    <row r="80" spans="1:88" ht="36" customHeight="1">
      <c r="A80" s="1902" t="s">
        <v>87</v>
      </c>
      <c r="B80" s="1902"/>
      <c r="C80" s="1903">
        <f>C37</f>
        <v>0</v>
      </c>
      <c r="D80" s="1903"/>
      <c r="E80" s="1903"/>
      <c r="F80" s="1903"/>
      <c r="G80" s="1903"/>
      <c r="H80" s="1903"/>
      <c r="I80" s="1903"/>
      <c r="J80" s="1903"/>
      <c r="K80" s="1903"/>
      <c r="L80" s="1903"/>
      <c r="M80" s="1903"/>
      <c r="N80" s="1903"/>
      <c r="O80" s="1903"/>
      <c r="P80" s="1903"/>
      <c r="Q80" s="1903"/>
      <c r="R80" s="1903"/>
      <c r="S80" s="1903"/>
      <c r="T80" s="1903"/>
      <c r="U80" s="522"/>
      <c r="V80" s="522"/>
      <c r="W80" s="522"/>
      <c r="X80" s="522"/>
      <c r="Y80" s="522"/>
      <c r="Z80" s="522"/>
      <c r="AA80" s="14"/>
      <c r="AB80" s="14"/>
      <c r="AC80" s="14"/>
      <c r="AD80" s="742"/>
      <c r="AE80" s="741"/>
      <c r="AF80" s="14"/>
      <c r="AG80" s="14"/>
      <c r="AH80" s="14"/>
      <c r="AI80" s="14"/>
      <c r="AJ80" s="14"/>
      <c r="AK80" s="14"/>
      <c r="AL80" s="14"/>
      <c r="AM80" s="14"/>
      <c r="AN80" s="14"/>
      <c r="AO80" s="14"/>
      <c r="AP80" s="14"/>
      <c r="AQ80" s="14"/>
      <c r="AR80" s="14"/>
      <c r="AS80" s="14"/>
      <c r="AT80" s="14"/>
      <c r="AU80" s="14"/>
      <c r="AV80" s="14"/>
      <c r="AW80" s="14"/>
      <c r="AX80" s="14"/>
      <c r="AY80" s="14"/>
      <c r="AZ80" s="14"/>
      <c r="BA80" s="83">
        <v>77</v>
      </c>
      <c r="BB80" s="84">
        <f t="shared" si="35"/>
        <v>0</v>
      </c>
      <c r="BC80" s="85">
        <f t="shared" si="36"/>
        <v>0</v>
      </c>
      <c r="BD80" s="86">
        <f t="shared" si="37"/>
        <v>0</v>
      </c>
      <c r="BE80" s="86">
        <f t="shared" si="37"/>
        <v>0</v>
      </c>
      <c r="BF80" s="328"/>
      <c r="BG80" s="56"/>
      <c r="BH80" s="56"/>
      <c r="BI80" s="56"/>
      <c r="BJ80" s="323"/>
      <c r="BK80" s="324"/>
      <c r="BL80" s="324">
        <f t="shared" si="41"/>
        <v>0</v>
      </c>
      <c r="BM80" s="324"/>
      <c r="BN80" s="323"/>
      <c r="BO80" s="324"/>
      <c r="BP80" s="324"/>
      <c r="BQ80" s="56"/>
      <c r="CC80" s="302" t="str">
        <f t="shared" ref="CC80:CC94" si="44">$BW$11&amp;BF12</f>
        <v>中日帰/準</v>
      </c>
      <c r="CD80" s="147">
        <f t="shared" ref="CD80:CD94" si="45">BW12</f>
        <v>0</v>
      </c>
      <c r="CE80" s="754">
        <f>IF(OR(BW12="",BW12=0),0,36)</f>
        <v>0</v>
      </c>
      <c r="CF80" s="754">
        <v>110</v>
      </c>
      <c r="CG80" s="758">
        <v>36</v>
      </c>
    </row>
    <row r="81" spans="1:85" ht="15.95" customHeight="1">
      <c r="A81" s="1922" t="s">
        <v>86</v>
      </c>
      <c r="B81" s="1922"/>
      <c r="C81" s="1927">
        <f>C38</f>
        <v>0</v>
      </c>
      <c r="D81" s="1927"/>
      <c r="E81" s="1875" t="s">
        <v>18</v>
      </c>
      <c r="F81" s="1927">
        <f>F38</f>
        <v>0</v>
      </c>
      <c r="G81" s="1875" t="s">
        <v>17</v>
      </c>
      <c r="H81" s="1929">
        <f>H38</f>
        <v>0</v>
      </c>
      <c r="I81" s="1875" t="s">
        <v>16</v>
      </c>
      <c r="J81" s="1875" t="s">
        <v>460</v>
      </c>
      <c r="K81" s="1929">
        <f>K38</f>
        <v>0</v>
      </c>
      <c r="L81" s="1875" t="s">
        <v>482</v>
      </c>
      <c r="M81" s="1875" t="s">
        <v>465</v>
      </c>
      <c r="N81" s="1929">
        <f>N38</f>
        <v>0</v>
      </c>
      <c r="O81" s="1875" t="s">
        <v>17</v>
      </c>
      <c r="P81" s="1929">
        <f>P38</f>
        <v>0</v>
      </c>
      <c r="Q81" s="1875" t="s">
        <v>16</v>
      </c>
      <c r="R81" s="1875" t="s">
        <v>460</v>
      </c>
      <c r="S81" s="1929">
        <f>S38</f>
        <v>0</v>
      </c>
      <c r="T81" s="1875" t="s">
        <v>482</v>
      </c>
      <c r="U81" s="1875"/>
      <c r="V81" s="1875"/>
      <c r="W81" s="537">
        <f>W38</f>
        <v>0</v>
      </c>
      <c r="X81" s="511" t="s">
        <v>51</v>
      </c>
      <c r="Y81" s="537">
        <f>Y38</f>
        <v>0</v>
      </c>
      <c r="Z81" s="511" t="s">
        <v>16</v>
      </c>
      <c r="AA81" s="14"/>
      <c r="AB81" s="14"/>
      <c r="AC81" s="14"/>
      <c r="AD81" s="742"/>
      <c r="AE81" s="741"/>
      <c r="AF81" s="14"/>
      <c r="AG81" s="14"/>
      <c r="AH81" s="14"/>
      <c r="AI81" s="14"/>
      <c r="AJ81" s="14"/>
      <c r="AK81" s="14"/>
      <c r="AL81" s="14"/>
      <c r="AM81" s="14"/>
      <c r="AN81" s="14"/>
      <c r="AO81" s="14"/>
      <c r="AP81" s="14"/>
      <c r="AQ81" s="14"/>
      <c r="AR81" s="14"/>
      <c r="AS81" s="14"/>
      <c r="AT81" s="14"/>
      <c r="AU81" s="14"/>
      <c r="AV81" s="14"/>
      <c r="AW81" s="14"/>
      <c r="AX81" s="14"/>
      <c r="AY81" s="14"/>
      <c r="AZ81" s="14"/>
      <c r="BA81" s="83">
        <v>78</v>
      </c>
      <c r="BB81" s="84">
        <f t="shared" si="35"/>
        <v>0</v>
      </c>
      <c r="BC81" s="85">
        <f t="shared" si="36"/>
        <v>0</v>
      </c>
      <c r="BD81" s="86">
        <f t="shared" si="37"/>
        <v>0</v>
      </c>
      <c r="BE81" s="86">
        <f t="shared" si="37"/>
        <v>0</v>
      </c>
      <c r="BF81" s="328"/>
      <c r="BG81" s="56"/>
      <c r="BH81" s="56"/>
      <c r="BI81" s="56"/>
      <c r="BJ81" s="323"/>
      <c r="BK81" s="324"/>
      <c r="BL81" s="324">
        <f t="shared" si="41"/>
        <v>0</v>
      </c>
      <c r="BM81" s="324"/>
      <c r="BN81" s="323"/>
      <c r="BO81" s="324"/>
      <c r="BP81" s="324"/>
      <c r="BQ81" s="56"/>
      <c r="CC81" s="302" t="str">
        <f t="shared" si="44"/>
        <v>中日帰/特</v>
      </c>
      <c r="CD81" s="147">
        <f t="shared" si="45"/>
        <v>0</v>
      </c>
      <c r="CE81" s="754">
        <f>IF(OR(BW13="",BW13=0),0,34)</f>
        <v>0</v>
      </c>
      <c r="CF81" s="754">
        <v>110</v>
      </c>
      <c r="CG81" s="758">
        <v>34</v>
      </c>
    </row>
    <row r="82" spans="1:85" ht="15.95" customHeight="1">
      <c r="A82" s="1902"/>
      <c r="B82" s="1902"/>
      <c r="C82" s="1928"/>
      <c r="D82" s="1928"/>
      <c r="E82" s="1420"/>
      <c r="F82" s="1928"/>
      <c r="G82" s="1420"/>
      <c r="H82" s="1928"/>
      <c r="I82" s="1420"/>
      <c r="J82" s="1420"/>
      <c r="K82" s="1928"/>
      <c r="L82" s="1420"/>
      <c r="M82" s="1420"/>
      <c r="N82" s="1928"/>
      <c r="O82" s="1420"/>
      <c r="P82" s="1928"/>
      <c r="Q82" s="1420"/>
      <c r="R82" s="1420"/>
      <c r="S82" s="1928"/>
      <c r="T82" s="1420"/>
      <c r="U82" s="1875"/>
      <c r="V82" s="1875"/>
      <c r="W82" s="1875" t="s">
        <v>52</v>
      </c>
      <c r="X82" s="1875"/>
      <c r="Y82" s="539" t="str">
        <f>Y39</f>
        <v/>
      </c>
      <c r="Z82" s="511" t="s">
        <v>16</v>
      </c>
      <c r="AA82" s="13"/>
      <c r="AB82" s="13"/>
      <c r="AC82" s="13"/>
      <c r="AD82" s="742"/>
      <c r="AE82" s="741"/>
      <c r="AF82" s="13"/>
      <c r="AG82" s="13"/>
      <c r="AH82" s="13"/>
      <c r="AI82" s="13"/>
      <c r="AK82" s="13"/>
      <c r="AL82" s="13"/>
      <c r="AM82" s="13"/>
      <c r="AN82" s="13"/>
      <c r="AO82" s="13"/>
      <c r="AP82" s="13"/>
      <c r="AQ82" s="13"/>
      <c r="AR82" s="13"/>
      <c r="AS82" s="13"/>
      <c r="AT82" s="13"/>
      <c r="AU82" s="13"/>
      <c r="AV82" s="13"/>
      <c r="AW82" s="13"/>
      <c r="AX82" s="13"/>
      <c r="AY82" s="13"/>
      <c r="AZ82" s="13"/>
      <c r="BA82" s="83">
        <v>79</v>
      </c>
      <c r="BB82" s="84">
        <f t="shared" si="35"/>
        <v>0</v>
      </c>
      <c r="BC82" s="85">
        <f t="shared" si="36"/>
        <v>0</v>
      </c>
      <c r="BD82" s="86">
        <f t="shared" si="37"/>
        <v>0</v>
      </c>
      <c r="BE82" s="86">
        <f t="shared" si="37"/>
        <v>0</v>
      </c>
      <c r="BF82" s="328"/>
      <c r="BG82" s="56"/>
      <c r="BH82" s="56"/>
      <c r="BI82" s="56"/>
      <c r="BJ82" s="323"/>
      <c r="BK82" s="324"/>
      <c r="BL82" s="324">
        <f t="shared" si="41"/>
        <v>0</v>
      </c>
      <c r="BM82" s="324"/>
      <c r="BN82" s="323"/>
      <c r="BO82" s="324"/>
      <c r="BP82" s="324"/>
      <c r="BQ82" s="56"/>
      <c r="CC82" s="302" t="str">
        <f t="shared" si="44"/>
        <v>中日帰/身</v>
      </c>
      <c r="CD82" s="147">
        <f t="shared" si="45"/>
        <v>0</v>
      </c>
      <c r="CE82" s="754">
        <f>IF(OR(BW14="",BW14=0),0,33)</f>
        <v>0</v>
      </c>
      <c r="CF82" s="754">
        <v>110</v>
      </c>
      <c r="CG82" s="758">
        <v>33</v>
      </c>
    </row>
    <row r="83" spans="1:85" ht="24.95" customHeight="1">
      <c r="A83" s="540"/>
      <c r="B83" s="540"/>
      <c r="C83" s="540"/>
      <c r="D83" s="540"/>
      <c r="E83" s="540"/>
      <c r="F83" s="540"/>
      <c r="G83" s="540"/>
      <c r="H83" s="540"/>
      <c r="I83" s="540"/>
      <c r="J83" s="540"/>
      <c r="K83" s="540"/>
      <c r="L83" s="540"/>
      <c r="M83" s="540"/>
      <c r="N83" s="540"/>
      <c r="O83" s="540"/>
      <c r="P83" s="540"/>
      <c r="Q83" s="540"/>
      <c r="R83" s="540"/>
      <c r="S83" s="540"/>
      <c r="T83" s="540"/>
      <c r="U83" s="541"/>
      <c r="V83" s="541"/>
      <c r="W83" s="541"/>
      <c r="X83" s="541"/>
      <c r="Y83" s="541"/>
      <c r="Z83" s="541"/>
      <c r="AA83" s="13"/>
      <c r="AB83" s="13"/>
      <c r="AC83" s="13"/>
      <c r="AD83" s="742"/>
      <c r="AE83" s="741"/>
      <c r="AF83" s="13"/>
      <c r="AG83" s="13"/>
      <c r="AH83" s="13"/>
      <c r="AI83" s="13"/>
      <c r="AK83" s="13"/>
      <c r="AL83" s="13"/>
      <c r="AM83" s="13"/>
      <c r="AN83" s="13"/>
      <c r="AO83" s="13"/>
      <c r="AP83" s="13"/>
      <c r="AQ83" s="13"/>
      <c r="AR83" s="13"/>
      <c r="AS83" s="13"/>
      <c r="AT83" s="13"/>
      <c r="AU83" s="13"/>
      <c r="AV83" s="13"/>
      <c r="AW83" s="13"/>
      <c r="AX83" s="13"/>
      <c r="AY83" s="13"/>
      <c r="AZ83" s="13"/>
      <c r="BA83" s="83">
        <v>80</v>
      </c>
      <c r="BB83" s="84">
        <f t="shared" si="35"/>
        <v>0</v>
      </c>
      <c r="BC83" s="85">
        <f t="shared" si="36"/>
        <v>0</v>
      </c>
      <c r="BD83" s="86">
        <f t="shared" si="37"/>
        <v>0</v>
      </c>
      <c r="BE83" s="86">
        <f t="shared" si="37"/>
        <v>0</v>
      </c>
      <c r="BF83" s="158"/>
      <c r="BG83" s="56"/>
      <c r="BH83" s="56"/>
      <c r="BI83" s="56"/>
      <c r="BJ83" s="323"/>
      <c r="BK83" s="324"/>
      <c r="BL83" s="324">
        <f t="shared" si="41"/>
        <v>0</v>
      </c>
      <c r="BM83" s="324"/>
      <c r="BN83" s="323"/>
      <c r="BO83" s="324"/>
      <c r="BP83" s="324"/>
      <c r="BQ83" s="56"/>
      <c r="CC83" s="302" t="str">
        <f t="shared" si="44"/>
        <v>中日帰/療</v>
      </c>
      <c r="CD83" s="147">
        <f t="shared" si="45"/>
        <v>0</v>
      </c>
      <c r="CE83" s="754">
        <f>IF(OR(BW15="",BW15=0),0,32)</f>
        <v>0</v>
      </c>
      <c r="CF83" s="754">
        <v>110</v>
      </c>
      <c r="CG83" s="758">
        <v>32</v>
      </c>
    </row>
    <row r="84" spans="1:85" ht="12.6" customHeight="1">
      <c r="A84" s="1855" t="s">
        <v>480</v>
      </c>
      <c r="B84" s="1883" t="s">
        <v>166</v>
      </c>
      <c r="C84" s="1884"/>
      <c r="D84" s="1884"/>
      <c r="E84" s="1884"/>
      <c r="F84" s="1884"/>
      <c r="G84" s="1898"/>
      <c r="H84" s="1911" t="s">
        <v>167</v>
      </c>
      <c r="I84" s="1898"/>
      <c r="J84" s="1883" t="s">
        <v>168</v>
      </c>
      <c r="K84" s="1884"/>
      <c r="L84" s="1884"/>
      <c r="M84" s="1885"/>
      <c r="N84" s="1930" t="s">
        <v>470</v>
      </c>
      <c r="O84" s="1883" t="s">
        <v>166</v>
      </c>
      <c r="P84" s="1884"/>
      <c r="Q84" s="1884"/>
      <c r="R84" s="1884"/>
      <c r="S84" s="1884"/>
      <c r="T84" s="1898"/>
      <c r="U84" s="1911" t="s">
        <v>167</v>
      </c>
      <c r="V84" s="1898"/>
      <c r="W84" s="1883" t="s">
        <v>168</v>
      </c>
      <c r="X84" s="1884"/>
      <c r="Y84" s="1884"/>
      <c r="Z84" s="1898"/>
      <c r="AA84" s="13"/>
      <c r="AB84" s="13"/>
      <c r="AC84" s="13"/>
      <c r="AD84" s="742"/>
      <c r="AE84" s="741"/>
      <c r="AF84" s="13"/>
      <c r="AG84" s="13"/>
      <c r="AH84" s="13"/>
      <c r="AI84" s="13"/>
      <c r="AK84" s="13"/>
      <c r="AL84" s="13"/>
      <c r="AM84" s="13"/>
      <c r="AN84" s="13"/>
      <c r="AO84" s="13"/>
      <c r="AP84" s="13"/>
      <c r="AQ84" s="13"/>
      <c r="AR84" s="13"/>
      <c r="AS84" s="13"/>
      <c r="AT84" s="13"/>
      <c r="AU84" s="13"/>
      <c r="AV84" s="13"/>
      <c r="AW84" s="13"/>
      <c r="AX84" s="13"/>
      <c r="AY84" s="13"/>
      <c r="AZ84" s="13"/>
      <c r="BA84" s="83">
        <v>81</v>
      </c>
      <c r="BB84" s="84">
        <f>COUNTA(H89:I89)</f>
        <v>0</v>
      </c>
      <c r="BC84" s="85">
        <f>COUNTA(K89)</f>
        <v>0</v>
      </c>
      <c r="BD84" s="86">
        <f>BB84-COUNTA(H89)</f>
        <v>0</v>
      </c>
      <c r="BE84" s="86">
        <f>BC84-COUNTA(I89)</f>
        <v>0</v>
      </c>
      <c r="BF84" s="158"/>
      <c r="BG84" s="56"/>
      <c r="BH84" s="56"/>
      <c r="BI84" s="56"/>
      <c r="BJ84" s="323"/>
      <c r="BK84" s="324"/>
      <c r="BL84" s="324">
        <f t="shared" si="41"/>
        <v>0</v>
      </c>
      <c r="BM84" s="324"/>
      <c r="BN84" s="323"/>
      <c r="BO84" s="324"/>
      <c r="BP84" s="324"/>
      <c r="BQ84" s="56"/>
      <c r="CC84" s="302" t="str">
        <f t="shared" si="44"/>
        <v>中日帰/精</v>
      </c>
      <c r="CD84" s="147">
        <f t="shared" si="45"/>
        <v>0</v>
      </c>
      <c r="CE84" s="754">
        <f>IF(OR(BW16="",BW16=0),0,31)</f>
        <v>0</v>
      </c>
      <c r="CF84" s="754">
        <v>110</v>
      </c>
      <c r="CG84" s="758">
        <v>31</v>
      </c>
    </row>
    <row r="85" spans="1:85" ht="13.5" customHeight="1">
      <c r="A85" s="1855"/>
      <c r="B85" s="1913"/>
      <c r="C85" s="1914"/>
      <c r="D85" s="1914"/>
      <c r="E85" s="1914"/>
      <c r="F85" s="1914"/>
      <c r="G85" s="1915"/>
      <c r="H85" s="1886"/>
      <c r="I85" s="1899"/>
      <c r="J85" s="1886"/>
      <c r="K85" s="1887"/>
      <c r="L85" s="1887"/>
      <c r="M85" s="1888"/>
      <c r="N85" s="1931"/>
      <c r="O85" s="1913"/>
      <c r="P85" s="1914"/>
      <c r="Q85" s="1914"/>
      <c r="R85" s="1914"/>
      <c r="S85" s="1914"/>
      <c r="T85" s="1915"/>
      <c r="U85" s="1886"/>
      <c r="V85" s="1899"/>
      <c r="W85" s="1886"/>
      <c r="X85" s="1887"/>
      <c r="Y85" s="1887"/>
      <c r="Z85" s="1899"/>
      <c r="AA85" s="13"/>
      <c r="AB85" s="13"/>
      <c r="AC85" s="13"/>
      <c r="AD85" s="742"/>
      <c r="AE85" s="741"/>
      <c r="AF85" s="13"/>
      <c r="AG85" s="13"/>
      <c r="AH85" s="13"/>
      <c r="AI85" s="13"/>
      <c r="AK85" s="13"/>
      <c r="AL85" s="13"/>
      <c r="AM85" s="13"/>
      <c r="AN85" s="13"/>
      <c r="AO85" s="13"/>
      <c r="AP85" s="13"/>
      <c r="AQ85" s="13"/>
      <c r="AR85" s="13"/>
      <c r="AS85" s="13"/>
      <c r="AT85" s="13"/>
      <c r="AU85" s="13"/>
      <c r="AV85" s="13"/>
      <c r="AW85" s="13"/>
      <c r="AX85" s="13"/>
      <c r="AY85" s="13"/>
      <c r="AZ85" s="13"/>
      <c r="BA85" s="83">
        <v>82</v>
      </c>
      <c r="BB85" s="84">
        <f t="shared" ref="BB85:BB113" si="46">COUNTA(H90:I90)</f>
        <v>0</v>
      </c>
      <c r="BC85" s="85">
        <f t="shared" ref="BC85:BC113" si="47">COUNTA(K90)</f>
        <v>0</v>
      </c>
      <c r="BD85" s="86">
        <f t="shared" ref="BD85:BE113" si="48">BB85-COUNTA(H90)</f>
        <v>0</v>
      </c>
      <c r="BE85" s="86">
        <f t="shared" si="48"/>
        <v>0</v>
      </c>
      <c r="BF85" s="158"/>
      <c r="BG85" s="56"/>
      <c r="BH85" s="56"/>
      <c r="BI85" s="56"/>
      <c r="BJ85" s="323"/>
      <c r="BK85" s="324"/>
      <c r="BL85" s="324">
        <f t="shared" si="41"/>
        <v>0</v>
      </c>
      <c r="BM85" s="324"/>
      <c r="BN85" s="323"/>
      <c r="BO85" s="324"/>
      <c r="BP85" s="324"/>
      <c r="BQ85" s="56"/>
      <c r="CC85" s="302" t="str">
        <f t="shared" si="44"/>
        <v>中日帰/介添</v>
      </c>
      <c r="CD85" s="147">
        <f t="shared" si="45"/>
        <v>0</v>
      </c>
      <c r="CE85" s="754">
        <f>IF(OR(BW17="",BW17=0),0,30)</f>
        <v>0</v>
      </c>
      <c r="CF85" s="754">
        <v>110</v>
      </c>
      <c r="CG85" s="758">
        <v>30</v>
      </c>
    </row>
    <row r="86" spans="1:85" ht="26.1" customHeight="1">
      <c r="A86" s="1855"/>
      <c r="B86" s="1913"/>
      <c r="C86" s="1914"/>
      <c r="D86" s="1914"/>
      <c r="E86" s="1914"/>
      <c r="F86" s="1914"/>
      <c r="G86" s="1915"/>
      <c r="H86" s="1924" t="s">
        <v>53</v>
      </c>
      <c r="I86" s="1912" t="s">
        <v>52</v>
      </c>
      <c r="J86" s="1904" t="s">
        <v>543</v>
      </c>
      <c r="K86" s="1889" t="s">
        <v>542</v>
      </c>
      <c r="L86" s="1890"/>
      <c r="M86" s="1891"/>
      <c r="N86" s="1931"/>
      <c r="O86" s="1913"/>
      <c r="P86" s="1914"/>
      <c r="Q86" s="1914"/>
      <c r="R86" s="1914"/>
      <c r="S86" s="1914"/>
      <c r="T86" s="1915"/>
      <c r="U86" s="1924" t="s">
        <v>53</v>
      </c>
      <c r="V86" s="1912" t="s">
        <v>52</v>
      </c>
      <c r="W86" s="1904" t="s">
        <v>543</v>
      </c>
      <c r="X86" s="1889" t="s">
        <v>542</v>
      </c>
      <c r="Y86" s="1890"/>
      <c r="Z86" s="1900"/>
      <c r="AA86" s="13"/>
      <c r="AB86" s="13"/>
      <c r="AC86" s="13"/>
      <c r="AD86" s="742"/>
      <c r="AE86" s="741"/>
      <c r="AF86" s="13"/>
      <c r="AG86" s="13"/>
      <c r="AH86" s="13"/>
      <c r="AI86" s="13"/>
      <c r="AK86" s="13"/>
      <c r="AL86" s="13"/>
      <c r="AM86" s="13"/>
      <c r="AN86" s="13"/>
      <c r="AO86" s="13"/>
      <c r="AP86" s="13"/>
      <c r="AQ86" s="13"/>
      <c r="AR86" s="13"/>
      <c r="AS86" s="13"/>
      <c r="AT86" s="13"/>
      <c r="AU86" s="13"/>
      <c r="AV86" s="13"/>
      <c r="AW86" s="13"/>
      <c r="AX86" s="13"/>
      <c r="AY86" s="13"/>
      <c r="AZ86" s="13"/>
      <c r="BA86" s="83">
        <v>83</v>
      </c>
      <c r="BB86" s="84">
        <f t="shared" si="46"/>
        <v>0</v>
      </c>
      <c r="BC86" s="85">
        <f t="shared" si="47"/>
        <v>0</v>
      </c>
      <c r="BD86" s="86">
        <f t="shared" si="48"/>
        <v>0</v>
      </c>
      <c r="BE86" s="86">
        <f t="shared" si="48"/>
        <v>0</v>
      </c>
      <c r="BF86" s="158"/>
      <c r="BG86" s="56"/>
      <c r="BH86" s="56"/>
      <c r="BI86" s="56"/>
      <c r="BJ86" s="323"/>
      <c r="BK86" s="324"/>
      <c r="BL86" s="324">
        <f t="shared" si="41"/>
        <v>0</v>
      </c>
      <c r="BM86" s="324"/>
      <c r="BN86" s="323"/>
      <c r="BO86" s="324"/>
      <c r="BP86" s="324"/>
      <c r="BQ86" s="56"/>
      <c r="CC86" s="302" t="str">
        <f t="shared" si="44"/>
        <v>中日帰/準・特</v>
      </c>
      <c r="CD86" s="147">
        <f t="shared" si="45"/>
        <v>0</v>
      </c>
      <c r="CE86" s="754">
        <f>IF(OR(BW18="",BW18=0),0,29)</f>
        <v>0</v>
      </c>
      <c r="CF86" s="754">
        <v>110</v>
      </c>
      <c r="CG86" s="758">
        <v>29</v>
      </c>
    </row>
    <row r="87" spans="1:85" ht="26.1" customHeight="1">
      <c r="A87" s="1855"/>
      <c r="B87" s="1913"/>
      <c r="C87" s="1914"/>
      <c r="D87" s="1914"/>
      <c r="E87" s="1914"/>
      <c r="F87" s="1914"/>
      <c r="G87" s="1915"/>
      <c r="H87" s="1924"/>
      <c r="I87" s="1912"/>
      <c r="J87" s="1905"/>
      <c r="K87" s="1889"/>
      <c r="L87" s="1890"/>
      <c r="M87" s="1891"/>
      <c r="N87" s="1931"/>
      <c r="O87" s="1913"/>
      <c r="P87" s="1914"/>
      <c r="Q87" s="1914"/>
      <c r="R87" s="1914"/>
      <c r="S87" s="1914"/>
      <c r="T87" s="1915"/>
      <c r="U87" s="1924"/>
      <c r="V87" s="1912"/>
      <c r="W87" s="1905"/>
      <c r="X87" s="1889"/>
      <c r="Y87" s="1890"/>
      <c r="Z87" s="1900"/>
      <c r="AA87" s="6"/>
      <c r="AB87" s="6"/>
      <c r="AC87" s="6"/>
      <c r="AD87" s="742"/>
      <c r="AE87" s="741"/>
      <c r="AF87" s="6"/>
      <c r="AG87" s="6"/>
      <c r="AH87" s="6"/>
      <c r="AI87" s="6"/>
      <c r="AJ87" s="6"/>
      <c r="AK87" s="6"/>
      <c r="AL87" s="6"/>
      <c r="AM87" s="6"/>
      <c r="AN87" s="6"/>
      <c r="AO87" s="6"/>
      <c r="AP87" s="6"/>
      <c r="AQ87" s="6"/>
      <c r="AR87" s="6"/>
      <c r="AS87" s="6"/>
      <c r="AT87" s="6"/>
      <c r="AU87" s="6"/>
      <c r="AV87" s="6"/>
      <c r="AW87" s="6"/>
      <c r="AX87" s="6"/>
      <c r="AY87" s="6"/>
      <c r="AZ87" s="6"/>
      <c r="BA87" s="83">
        <v>84</v>
      </c>
      <c r="BB87" s="84">
        <f t="shared" si="46"/>
        <v>0</v>
      </c>
      <c r="BC87" s="85">
        <f t="shared" si="47"/>
        <v>0</v>
      </c>
      <c r="BD87" s="86">
        <f t="shared" si="48"/>
        <v>0</v>
      </c>
      <c r="BE87" s="86">
        <f t="shared" si="48"/>
        <v>0</v>
      </c>
      <c r="BF87" s="158"/>
      <c r="BG87" s="56"/>
      <c r="BH87" s="56"/>
      <c r="BI87" s="56"/>
      <c r="BJ87" s="323"/>
      <c r="BK87" s="324"/>
      <c r="BL87" s="324">
        <f t="shared" si="41"/>
        <v>0</v>
      </c>
      <c r="BM87" s="324"/>
      <c r="BN87" s="323"/>
      <c r="BO87" s="324"/>
      <c r="BP87" s="324"/>
      <c r="BQ87" s="56"/>
      <c r="CC87" s="302" t="str">
        <f t="shared" si="44"/>
        <v>中日帰/準・身</v>
      </c>
      <c r="CD87" s="147">
        <f t="shared" si="45"/>
        <v>0</v>
      </c>
      <c r="CE87" s="754">
        <f>IF(OR(BW19="",BW19=0),0,28)</f>
        <v>0</v>
      </c>
      <c r="CF87" s="754">
        <v>110</v>
      </c>
      <c r="CG87" s="758">
        <v>28</v>
      </c>
    </row>
    <row r="88" spans="1:85" ht="26.1" customHeight="1">
      <c r="A88" s="1855"/>
      <c r="B88" s="1886"/>
      <c r="C88" s="1887"/>
      <c r="D88" s="1887"/>
      <c r="E88" s="1887"/>
      <c r="F88" s="1887"/>
      <c r="G88" s="1899"/>
      <c r="H88" s="1924"/>
      <c r="I88" s="1912"/>
      <c r="J88" s="1905"/>
      <c r="K88" s="1892"/>
      <c r="L88" s="1893"/>
      <c r="M88" s="1894"/>
      <c r="N88" s="1932"/>
      <c r="O88" s="1886"/>
      <c r="P88" s="1887"/>
      <c r="Q88" s="1887"/>
      <c r="R88" s="1887"/>
      <c r="S88" s="1887"/>
      <c r="T88" s="1899"/>
      <c r="U88" s="1924"/>
      <c r="V88" s="1912"/>
      <c r="W88" s="1905"/>
      <c r="X88" s="1892"/>
      <c r="Y88" s="1893"/>
      <c r="Z88" s="1901"/>
      <c r="AA88" s="6"/>
      <c r="AB88" s="6"/>
      <c r="AC88" s="6"/>
      <c r="AD88" s="742"/>
      <c r="AE88" s="741"/>
      <c r="AF88" s="6"/>
      <c r="AG88" s="6"/>
      <c r="AH88" s="6"/>
      <c r="AI88" s="6"/>
      <c r="AJ88" s="6"/>
      <c r="AK88" s="6"/>
      <c r="AL88" s="6"/>
      <c r="AM88" s="6"/>
      <c r="AN88" s="6"/>
      <c r="AO88" s="6"/>
      <c r="AP88" s="6"/>
      <c r="AQ88" s="6"/>
      <c r="AR88" s="6"/>
      <c r="AS88" s="6"/>
      <c r="AT88" s="6"/>
      <c r="AU88" s="6"/>
      <c r="AV88" s="6"/>
      <c r="AW88" s="6"/>
      <c r="AX88" s="6"/>
      <c r="AY88" s="6"/>
      <c r="AZ88" s="6"/>
      <c r="BA88" s="83">
        <v>85</v>
      </c>
      <c r="BB88" s="84">
        <f t="shared" si="46"/>
        <v>0</v>
      </c>
      <c r="BC88" s="85">
        <f t="shared" si="47"/>
        <v>0</v>
      </c>
      <c r="BD88" s="86">
        <f t="shared" si="48"/>
        <v>0</v>
      </c>
      <c r="BE88" s="86">
        <f t="shared" si="48"/>
        <v>0</v>
      </c>
      <c r="BF88" s="158"/>
      <c r="BG88" s="56"/>
      <c r="BH88" s="56"/>
      <c r="BI88" s="56"/>
      <c r="BJ88" s="323"/>
      <c r="BK88" s="324"/>
      <c r="BL88" s="324">
        <f t="shared" si="41"/>
        <v>0</v>
      </c>
      <c r="BM88" s="324"/>
      <c r="BN88" s="323"/>
      <c r="BO88" s="324"/>
      <c r="BP88" s="324"/>
      <c r="BQ88" s="56"/>
      <c r="CC88" s="302" t="str">
        <f t="shared" si="44"/>
        <v>中日帰/準・療</v>
      </c>
      <c r="CD88" s="147">
        <f t="shared" si="45"/>
        <v>0</v>
      </c>
      <c r="CE88" s="754">
        <f>IF(OR(BW20="",BW20=0),0,27)</f>
        <v>0</v>
      </c>
      <c r="CF88" s="754">
        <v>110</v>
      </c>
      <c r="CG88" s="758">
        <v>27</v>
      </c>
    </row>
    <row r="89" spans="1:85" ht="24.95" customHeight="1">
      <c r="A89" s="895">
        <v>81</v>
      </c>
      <c r="B89" s="1920"/>
      <c r="C89" s="1908"/>
      <c r="D89" s="1908"/>
      <c r="E89" s="1908"/>
      <c r="F89" s="1908"/>
      <c r="G89" s="1909"/>
      <c r="H89" s="543"/>
      <c r="I89" s="544"/>
      <c r="J89" s="545"/>
      <c r="K89" s="928"/>
      <c r="L89" s="928"/>
      <c r="M89" s="921"/>
      <c r="N89" s="1086">
        <v>111</v>
      </c>
      <c r="O89" s="1920"/>
      <c r="P89" s="1908"/>
      <c r="Q89" s="1908"/>
      <c r="R89" s="1908"/>
      <c r="S89" s="1908"/>
      <c r="T89" s="1909"/>
      <c r="U89" s="543"/>
      <c r="V89" s="544"/>
      <c r="W89" s="545"/>
      <c r="X89" s="928"/>
      <c r="Y89" s="928"/>
      <c r="Z89" s="545"/>
      <c r="AA89" s="6"/>
      <c r="AB89" s="6"/>
      <c r="AC89" s="6"/>
      <c r="AD89" s="742"/>
      <c r="AE89" s="743"/>
      <c r="AF89" s="6"/>
      <c r="AG89" s="6"/>
      <c r="AH89" s="6"/>
      <c r="AI89" s="6"/>
      <c r="AJ89" s="6"/>
      <c r="AK89" s="6"/>
      <c r="AL89" s="6"/>
      <c r="AM89" s="6"/>
      <c r="AN89" s="6"/>
      <c r="AO89" s="6"/>
      <c r="AP89" s="6"/>
      <c r="AQ89" s="6"/>
      <c r="AR89" s="6"/>
      <c r="AS89" s="6"/>
      <c r="AT89" s="6"/>
      <c r="AU89" s="6"/>
      <c r="AV89" s="6"/>
      <c r="AW89" s="6"/>
      <c r="AX89" s="6"/>
      <c r="AY89" s="6"/>
      <c r="AZ89" s="6"/>
      <c r="BA89" s="83">
        <v>86</v>
      </c>
      <c r="BB89" s="84">
        <f t="shared" si="46"/>
        <v>0</v>
      </c>
      <c r="BC89" s="85">
        <f t="shared" si="47"/>
        <v>0</v>
      </c>
      <c r="BD89" s="86">
        <f t="shared" si="48"/>
        <v>0</v>
      </c>
      <c r="BE89" s="86">
        <f t="shared" si="48"/>
        <v>0</v>
      </c>
      <c r="BF89" s="158"/>
      <c r="BG89" s="56"/>
      <c r="BH89" s="56"/>
      <c r="BI89" s="56"/>
      <c r="BJ89" s="323"/>
      <c r="BK89" s="324"/>
      <c r="BL89" s="324">
        <f t="shared" si="41"/>
        <v>0</v>
      </c>
      <c r="BM89" s="324"/>
      <c r="BN89" s="323"/>
      <c r="BO89" s="324"/>
      <c r="BP89" s="324"/>
      <c r="BQ89" s="56"/>
      <c r="CC89" s="302" t="str">
        <f t="shared" si="44"/>
        <v>中日帰/準・精</v>
      </c>
      <c r="CD89" s="147">
        <f t="shared" si="45"/>
        <v>0</v>
      </c>
      <c r="CE89" s="754">
        <f>IF(OR(BW21="",BW21=0),0,26)</f>
        <v>0</v>
      </c>
      <c r="CF89" s="754">
        <v>110</v>
      </c>
      <c r="CG89" s="758">
        <v>26</v>
      </c>
    </row>
    <row r="90" spans="1:85" ht="24.95" customHeight="1">
      <c r="A90" s="895">
        <v>82</v>
      </c>
      <c r="B90" s="1920"/>
      <c r="C90" s="1908"/>
      <c r="D90" s="1908"/>
      <c r="E90" s="1908"/>
      <c r="F90" s="1908"/>
      <c r="G90" s="1909"/>
      <c r="H90" s="543"/>
      <c r="I90" s="544"/>
      <c r="J90" s="545"/>
      <c r="K90" s="928"/>
      <c r="L90" s="928"/>
      <c r="M90" s="921"/>
      <c r="N90" s="894">
        <v>112</v>
      </c>
      <c r="O90" s="1920"/>
      <c r="P90" s="1908"/>
      <c r="Q90" s="1908"/>
      <c r="R90" s="1908"/>
      <c r="S90" s="1908"/>
      <c r="T90" s="1909"/>
      <c r="U90" s="543"/>
      <c r="V90" s="544"/>
      <c r="W90" s="545"/>
      <c r="X90" s="928"/>
      <c r="Y90" s="928"/>
      <c r="Z90" s="545"/>
      <c r="AA90" s="6"/>
      <c r="AB90" s="6"/>
      <c r="AC90" s="6"/>
      <c r="AD90" s="742"/>
      <c r="AE90" s="743"/>
      <c r="AF90" s="6"/>
      <c r="AG90" s="6"/>
      <c r="AH90" s="6"/>
      <c r="AI90" s="6"/>
      <c r="AJ90" s="6"/>
      <c r="AK90" s="6"/>
      <c r="AL90" s="6"/>
      <c r="AM90" s="6"/>
      <c r="AN90" s="6"/>
      <c r="AO90" s="6"/>
      <c r="AP90" s="6"/>
      <c r="AQ90" s="6"/>
      <c r="AR90" s="6"/>
      <c r="AS90" s="6"/>
      <c r="AT90" s="6"/>
      <c r="AU90" s="6"/>
      <c r="AV90" s="6"/>
      <c r="AW90" s="6"/>
      <c r="AX90" s="6"/>
      <c r="AY90" s="6"/>
      <c r="AZ90" s="6"/>
      <c r="BA90" s="83">
        <v>87</v>
      </c>
      <c r="BB90" s="84">
        <f t="shared" si="46"/>
        <v>0</v>
      </c>
      <c r="BC90" s="85">
        <f t="shared" si="47"/>
        <v>0</v>
      </c>
      <c r="BD90" s="86">
        <f t="shared" si="48"/>
        <v>0</v>
      </c>
      <c r="BE90" s="86">
        <f t="shared" si="48"/>
        <v>0</v>
      </c>
      <c r="BF90" s="158"/>
      <c r="BG90" s="56"/>
      <c r="BH90" s="56"/>
      <c r="BI90" s="56"/>
      <c r="BJ90" s="323"/>
      <c r="BK90" s="324"/>
      <c r="BL90" s="324">
        <f t="shared" si="41"/>
        <v>0</v>
      </c>
      <c r="BM90" s="324"/>
      <c r="BN90" s="323"/>
      <c r="BO90" s="324"/>
      <c r="BP90" s="324"/>
      <c r="BQ90" s="56"/>
      <c r="CC90" s="302" t="str">
        <f t="shared" si="44"/>
        <v>中日帰/特・身</v>
      </c>
      <c r="CD90" s="147">
        <f t="shared" si="45"/>
        <v>0</v>
      </c>
      <c r="CE90" s="754">
        <f>IF(OR(BW22="",BW22=0),0,25)</f>
        <v>0</v>
      </c>
      <c r="CF90" s="754">
        <v>110</v>
      </c>
      <c r="CG90" s="758">
        <v>25</v>
      </c>
    </row>
    <row r="91" spans="1:85" ht="24.95" customHeight="1">
      <c r="A91" s="895">
        <v>83</v>
      </c>
      <c r="B91" s="1920"/>
      <c r="C91" s="1908"/>
      <c r="D91" s="1908"/>
      <c r="E91" s="1908"/>
      <c r="F91" s="1908"/>
      <c r="G91" s="1909"/>
      <c r="H91" s="543"/>
      <c r="I91" s="544"/>
      <c r="J91" s="545"/>
      <c r="K91" s="928"/>
      <c r="L91" s="928"/>
      <c r="M91" s="921"/>
      <c r="N91" s="894">
        <v>113</v>
      </c>
      <c r="O91" s="1920"/>
      <c r="P91" s="1908"/>
      <c r="Q91" s="1908"/>
      <c r="R91" s="1908"/>
      <c r="S91" s="1908"/>
      <c r="T91" s="1909"/>
      <c r="U91" s="543"/>
      <c r="V91" s="544"/>
      <c r="W91" s="545"/>
      <c r="X91" s="928"/>
      <c r="Y91" s="928"/>
      <c r="Z91" s="545"/>
      <c r="AA91" s="6"/>
      <c r="AB91" s="6"/>
      <c r="AC91" s="6"/>
      <c r="AD91" s="742"/>
      <c r="AE91" s="743"/>
      <c r="AF91" s="6"/>
      <c r="AG91" s="6"/>
      <c r="AH91" s="6"/>
      <c r="AI91" s="6"/>
      <c r="AJ91" s="6"/>
      <c r="AK91" s="6"/>
      <c r="AL91" s="6"/>
      <c r="AM91" s="6"/>
      <c r="AN91" s="6"/>
      <c r="AO91" s="6"/>
      <c r="AP91" s="6"/>
      <c r="AQ91" s="6"/>
      <c r="AR91" s="6"/>
      <c r="AS91" s="6"/>
      <c r="AT91" s="6"/>
      <c r="AU91" s="6"/>
      <c r="AV91" s="6"/>
      <c r="AW91" s="6"/>
      <c r="AX91" s="6"/>
      <c r="AY91" s="6"/>
      <c r="AZ91" s="6"/>
      <c r="BA91" s="83">
        <v>88</v>
      </c>
      <c r="BB91" s="84">
        <f t="shared" si="46"/>
        <v>0</v>
      </c>
      <c r="BC91" s="85">
        <f t="shared" si="47"/>
        <v>0</v>
      </c>
      <c r="BD91" s="86">
        <f t="shared" si="48"/>
        <v>0</v>
      </c>
      <c r="BE91" s="86">
        <f t="shared" si="48"/>
        <v>0</v>
      </c>
      <c r="BF91" s="158"/>
      <c r="BG91" s="56"/>
      <c r="BH91" s="56"/>
      <c r="BI91" s="56"/>
      <c r="BJ91" s="323"/>
      <c r="BK91" s="324"/>
      <c r="BL91" s="324">
        <f t="shared" si="41"/>
        <v>0</v>
      </c>
      <c r="BM91" s="324"/>
      <c r="BN91" s="323"/>
      <c r="BO91" s="324"/>
      <c r="BP91" s="324"/>
      <c r="BQ91" s="56"/>
      <c r="CC91" s="302" t="str">
        <f t="shared" si="44"/>
        <v>中日帰/特・療</v>
      </c>
      <c r="CD91" s="147">
        <f t="shared" si="45"/>
        <v>0</v>
      </c>
      <c r="CE91" s="754">
        <f>IF(OR(BW23="",BW23=0),0,24)</f>
        <v>0</v>
      </c>
      <c r="CF91" s="754">
        <v>110</v>
      </c>
      <c r="CG91" s="758">
        <v>24</v>
      </c>
    </row>
    <row r="92" spans="1:85" ht="24.95" customHeight="1">
      <c r="A92" s="895">
        <v>84</v>
      </c>
      <c r="B92" s="1920"/>
      <c r="C92" s="1908"/>
      <c r="D92" s="1908"/>
      <c r="E92" s="1908"/>
      <c r="F92" s="1908"/>
      <c r="G92" s="1909"/>
      <c r="H92" s="543"/>
      <c r="I92" s="544"/>
      <c r="J92" s="545"/>
      <c r="K92" s="928"/>
      <c r="L92" s="928"/>
      <c r="M92" s="921"/>
      <c r="N92" s="894">
        <v>114</v>
      </c>
      <c r="O92" s="1920"/>
      <c r="P92" s="1908"/>
      <c r="Q92" s="1908"/>
      <c r="R92" s="1908"/>
      <c r="S92" s="1908"/>
      <c r="T92" s="1909"/>
      <c r="U92" s="543"/>
      <c r="V92" s="544"/>
      <c r="W92" s="545"/>
      <c r="X92" s="928"/>
      <c r="Y92" s="928"/>
      <c r="Z92" s="545"/>
      <c r="AA92" s="6"/>
      <c r="AB92" s="6"/>
      <c r="AC92" s="6"/>
      <c r="AD92" s="742"/>
      <c r="AE92" s="743"/>
      <c r="AF92" s="6"/>
      <c r="AG92" s="6"/>
      <c r="AH92" s="6"/>
      <c r="AI92" s="6"/>
      <c r="AJ92" s="6"/>
      <c r="AK92" s="6"/>
      <c r="AL92" s="6"/>
      <c r="AM92" s="6"/>
      <c r="AN92" s="6"/>
      <c r="AO92" s="6"/>
      <c r="AP92" s="6"/>
      <c r="AQ92" s="6"/>
      <c r="AR92" s="6"/>
      <c r="AS92" s="6"/>
      <c r="AT92" s="6"/>
      <c r="AU92" s="6"/>
      <c r="AV92" s="6"/>
      <c r="AW92" s="6"/>
      <c r="AX92" s="6"/>
      <c r="AY92" s="6"/>
      <c r="AZ92" s="6"/>
      <c r="BA92" s="83">
        <v>89</v>
      </c>
      <c r="BB92" s="84">
        <f t="shared" si="46"/>
        <v>0</v>
      </c>
      <c r="BC92" s="85">
        <f t="shared" si="47"/>
        <v>0</v>
      </c>
      <c r="BD92" s="86">
        <f t="shared" si="48"/>
        <v>0</v>
      </c>
      <c r="BE92" s="86">
        <f t="shared" si="48"/>
        <v>0</v>
      </c>
      <c r="BF92" s="158"/>
      <c r="BG92" s="56"/>
      <c r="BH92" s="56"/>
      <c r="BI92" s="56"/>
      <c r="BJ92" s="323"/>
      <c r="BK92" s="324"/>
      <c r="BL92" s="324">
        <f t="shared" si="41"/>
        <v>0</v>
      </c>
      <c r="BM92" s="324"/>
      <c r="BN92" s="323"/>
      <c r="BO92" s="324"/>
      <c r="BP92" s="324"/>
      <c r="BQ92" s="56"/>
      <c r="CC92" s="302" t="str">
        <f t="shared" si="44"/>
        <v>中日帰/特・精</v>
      </c>
      <c r="CD92" s="147">
        <f t="shared" si="45"/>
        <v>0</v>
      </c>
      <c r="CE92" s="754">
        <f>IF(OR(BW24="",BW24=0),0,23)</f>
        <v>0</v>
      </c>
      <c r="CF92" s="754">
        <v>110</v>
      </c>
      <c r="CG92" s="758">
        <v>23</v>
      </c>
    </row>
    <row r="93" spans="1:85" ht="24.95" customHeight="1">
      <c r="A93" s="895">
        <v>85</v>
      </c>
      <c r="B93" s="1920"/>
      <c r="C93" s="1908"/>
      <c r="D93" s="1908"/>
      <c r="E93" s="1908"/>
      <c r="F93" s="1908"/>
      <c r="G93" s="1909"/>
      <c r="H93" s="543"/>
      <c r="I93" s="544"/>
      <c r="J93" s="545"/>
      <c r="K93" s="928"/>
      <c r="L93" s="928"/>
      <c r="M93" s="921"/>
      <c r="N93" s="894">
        <v>115</v>
      </c>
      <c r="O93" s="1920"/>
      <c r="P93" s="1908"/>
      <c r="Q93" s="1908"/>
      <c r="R93" s="1908"/>
      <c r="S93" s="1908"/>
      <c r="T93" s="1909"/>
      <c r="U93" s="543"/>
      <c r="V93" s="544"/>
      <c r="W93" s="545"/>
      <c r="X93" s="928"/>
      <c r="Y93" s="928"/>
      <c r="Z93" s="545"/>
      <c r="AA93" s="6"/>
      <c r="AB93" s="6"/>
      <c r="AC93" s="6"/>
      <c r="AD93" s="742"/>
      <c r="AE93" s="743"/>
      <c r="AF93" s="6"/>
      <c r="AG93" s="6"/>
      <c r="AH93" s="6"/>
      <c r="AI93" s="6"/>
      <c r="AJ93" s="6"/>
      <c r="AK93" s="6"/>
      <c r="AL93" s="6"/>
      <c r="AM93" s="6"/>
      <c r="AN93" s="6"/>
      <c r="AO93" s="6"/>
      <c r="AP93" s="6"/>
      <c r="AQ93" s="6"/>
      <c r="AR93" s="6"/>
      <c r="AS93" s="6"/>
      <c r="AT93" s="6"/>
      <c r="AU93" s="6"/>
      <c r="AV93" s="6"/>
      <c r="AW93" s="6"/>
      <c r="AX93" s="6"/>
      <c r="AY93" s="6"/>
      <c r="AZ93" s="6"/>
      <c r="BA93" s="83">
        <v>90</v>
      </c>
      <c r="BB93" s="84">
        <f t="shared" si="46"/>
        <v>0</v>
      </c>
      <c r="BC93" s="85">
        <f t="shared" si="47"/>
        <v>0</v>
      </c>
      <c r="BD93" s="86">
        <f t="shared" si="48"/>
        <v>0</v>
      </c>
      <c r="BE93" s="86">
        <f t="shared" si="48"/>
        <v>0</v>
      </c>
      <c r="BJ93" s="319"/>
      <c r="BK93" s="319"/>
      <c r="BL93" s="319"/>
      <c r="BM93" s="319"/>
      <c r="BN93" s="319"/>
      <c r="BO93" s="319"/>
      <c r="BP93" s="319"/>
      <c r="CC93" s="302" t="str">
        <f t="shared" si="44"/>
        <v>中日帰/身・療</v>
      </c>
      <c r="CD93" s="147">
        <f t="shared" si="45"/>
        <v>0</v>
      </c>
      <c r="CE93" s="754">
        <f>IF(OR(BW25="",BW25=0),0,22)</f>
        <v>0</v>
      </c>
      <c r="CF93" s="754">
        <v>110</v>
      </c>
      <c r="CG93" s="758">
        <v>22</v>
      </c>
    </row>
    <row r="94" spans="1:85" ht="24.95" customHeight="1">
      <c r="A94" s="895">
        <v>86</v>
      </c>
      <c r="B94" s="1920"/>
      <c r="C94" s="1908"/>
      <c r="D94" s="1908"/>
      <c r="E94" s="1908"/>
      <c r="F94" s="1908"/>
      <c r="G94" s="1909"/>
      <c r="H94" s="543"/>
      <c r="I94" s="544"/>
      <c r="J94" s="545"/>
      <c r="K94" s="928"/>
      <c r="L94" s="928"/>
      <c r="M94" s="921"/>
      <c r="N94" s="894">
        <v>116</v>
      </c>
      <c r="O94" s="1920"/>
      <c r="P94" s="1908"/>
      <c r="Q94" s="1908"/>
      <c r="R94" s="1908"/>
      <c r="S94" s="1908"/>
      <c r="T94" s="1909"/>
      <c r="U94" s="543"/>
      <c r="V94" s="544"/>
      <c r="W94" s="545"/>
      <c r="X94" s="928"/>
      <c r="Y94" s="928"/>
      <c r="Z94" s="545"/>
      <c r="AA94" s="6"/>
      <c r="AB94" s="6"/>
      <c r="AC94" s="6"/>
      <c r="AD94" s="742"/>
      <c r="AE94" s="743"/>
      <c r="AF94" s="6"/>
      <c r="AG94" s="6"/>
      <c r="AH94" s="6"/>
      <c r="AI94" s="6"/>
      <c r="AJ94" s="6"/>
      <c r="AK94" s="6"/>
      <c r="AL94" s="6"/>
      <c r="AM94" s="6"/>
      <c r="AN94" s="6"/>
      <c r="AO94" s="6"/>
      <c r="AP94" s="6"/>
      <c r="AQ94" s="6"/>
      <c r="AR94" s="6"/>
      <c r="AS94" s="6"/>
      <c r="AT94" s="6"/>
      <c r="AU94" s="6"/>
      <c r="AV94" s="6"/>
      <c r="AW94" s="6"/>
      <c r="AX94" s="6"/>
      <c r="AY94" s="6"/>
      <c r="AZ94" s="6"/>
      <c r="BA94" s="83">
        <v>91</v>
      </c>
      <c r="BB94" s="84">
        <f t="shared" si="46"/>
        <v>0</v>
      </c>
      <c r="BC94" s="85">
        <f t="shared" si="47"/>
        <v>0</v>
      </c>
      <c r="BD94" s="86">
        <f t="shared" si="48"/>
        <v>0</v>
      </c>
      <c r="BE94" s="86">
        <f t="shared" si="48"/>
        <v>0</v>
      </c>
      <c r="BF94" s="316" t="s">
        <v>1370</v>
      </c>
      <c r="BG94" s="317" t="s">
        <v>1371</v>
      </c>
      <c r="BH94" s="317" t="s">
        <v>1372</v>
      </c>
      <c r="BI94" s="317" t="s">
        <v>1369</v>
      </c>
      <c r="BJ94" s="316" t="s">
        <v>1370</v>
      </c>
      <c r="BK94" s="317" t="s">
        <v>1371</v>
      </c>
      <c r="BL94" s="317" t="s">
        <v>1372</v>
      </c>
      <c r="BM94" s="317" t="s">
        <v>1369</v>
      </c>
      <c r="BN94" s="319"/>
      <c r="BO94" s="319"/>
      <c r="BP94" s="319"/>
      <c r="CC94" s="302" t="str">
        <f t="shared" si="44"/>
        <v>中日帰/身・精</v>
      </c>
      <c r="CD94" s="147">
        <f t="shared" si="45"/>
        <v>0</v>
      </c>
      <c r="CE94" s="754">
        <f>IF(OR(BW26="",BW26=0),0,21)</f>
        <v>0</v>
      </c>
      <c r="CF94" s="754">
        <v>110</v>
      </c>
      <c r="CG94" s="758">
        <v>21</v>
      </c>
    </row>
    <row r="95" spans="1:85" ht="24.95" customHeight="1">
      <c r="A95" s="895">
        <v>87</v>
      </c>
      <c r="B95" s="1920"/>
      <c r="C95" s="1908"/>
      <c r="D95" s="1908"/>
      <c r="E95" s="1908"/>
      <c r="F95" s="1908"/>
      <c r="G95" s="1909"/>
      <c r="H95" s="543"/>
      <c r="I95" s="544"/>
      <c r="J95" s="545"/>
      <c r="K95" s="928"/>
      <c r="L95" s="928"/>
      <c r="M95" s="921"/>
      <c r="N95" s="894">
        <v>117</v>
      </c>
      <c r="O95" s="1920"/>
      <c r="P95" s="1908"/>
      <c r="Q95" s="1908"/>
      <c r="R95" s="1908"/>
      <c r="S95" s="1908"/>
      <c r="T95" s="1909"/>
      <c r="U95" s="543"/>
      <c r="V95" s="544"/>
      <c r="W95" s="545"/>
      <c r="X95" s="928"/>
      <c r="Y95" s="928"/>
      <c r="Z95" s="545"/>
      <c r="AA95" s="6"/>
      <c r="AB95" s="6"/>
      <c r="AC95" s="6"/>
      <c r="AD95" s="742"/>
      <c r="AE95" s="743"/>
      <c r="AF95" s="6"/>
      <c r="AG95" s="6"/>
      <c r="AH95" s="6"/>
      <c r="AI95" s="6"/>
      <c r="AJ95" s="6"/>
      <c r="AK95" s="6"/>
      <c r="AL95" s="6"/>
      <c r="AM95" s="6"/>
      <c r="AN95" s="6"/>
      <c r="AO95" s="6"/>
      <c r="AP95" s="6"/>
      <c r="AQ95" s="6"/>
      <c r="AR95" s="6"/>
      <c r="AS95" s="6"/>
      <c r="AT95" s="6"/>
      <c r="AU95" s="6"/>
      <c r="AV95" s="6"/>
      <c r="AW95" s="6"/>
      <c r="AX95" s="6"/>
      <c r="AY95" s="6"/>
      <c r="AZ95" s="6"/>
      <c r="BA95" s="83">
        <v>92</v>
      </c>
      <c r="BB95" s="84">
        <f t="shared" si="46"/>
        <v>0</v>
      </c>
      <c r="BC95" s="85">
        <f t="shared" si="47"/>
        <v>0</v>
      </c>
      <c r="BD95" s="86">
        <f t="shared" si="48"/>
        <v>0</v>
      </c>
      <c r="BE95" s="86">
        <f t="shared" si="48"/>
        <v>0</v>
      </c>
      <c r="BF95" s="316">
        <v>81</v>
      </c>
      <c r="BG95" s="318"/>
      <c r="BH95" s="318"/>
      <c r="BI95" s="318" t="b">
        <v>0</v>
      </c>
      <c r="BJ95" s="317">
        <v>111</v>
      </c>
      <c r="BK95" s="318"/>
      <c r="BL95" s="318"/>
      <c r="BM95" s="318" t="b">
        <v>0</v>
      </c>
      <c r="BN95" s="319"/>
      <c r="BO95" s="319"/>
      <c r="BP95" s="319"/>
      <c r="CC95" s="302" t="e">
        <f>$BW$11&amp;#REF!</f>
        <v>#REF!</v>
      </c>
      <c r="CD95" s="147" t="e">
        <f>#REF!</f>
        <v>#REF!</v>
      </c>
      <c r="CE95" s="754" t="e">
        <f>IF(OR(#REF!="",#REF!=0),0,20)</f>
        <v>#REF!</v>
      </c>
      <c r="CF95" s="754">
        <v>110</v>
      </c>
      <c r="CG95" s="758">
        <v>20</v>
      </c>
    </row>
    <row r="96" spans="1:85" ht="24.95" customHeight="1">
      <c r="A96" s="895">
        <v>88</v>
      </c>
      <c r="B96" s="1920"/>
      <c r="C96" s="1908"/>
      <c r="D96" s="1908"/>
      <c r="E96" s="1908"/>
      <c r="F96" s="1908"/>
      <c r="G96" s="1909"/>
      <c r="H96" s="543"/>
      <c r="I96" s="544"/>
      <c r="J96" s="545"/>
      <c r="K96" s="928"/>
      <c r="L96" s="928"/>
      <c r="M96" s="921"/>
      <c r="N96" s="894">
        <v>118</v>
      </c>
      <c r="O96" s="1920"/>
      <c r="P96" s="1908"/>
      <c r="Q96" s="1908"/>
      <c r="R96" s="1908"/>
      <c r="S96" s="1908"/>
      <c r="T96" s="1909"/>
      <c r="U96" s="543"/>
      <c r="V96" s="544"/>
      <c r="W96" s="545"/>
      <c r="X96" s="928"/>
      <c r="Y96" s="928"/>
      <c r="Z96" s="545"/>
      <c r="AA96" s="6"/>
      <c r="AB96" s="6"/>
      <c r="AC96" s="6"/>
      <c r="AD96" s="742"/>
      <c r="AE96" s="743"/>
      <c r="AF96" s="6"/>
      <c r="AG96" s="6"/>
      <c r="AH96" s="6"/>
      <c r="AI96" s="6"/>
      <c r="AJ96" s="6"/>
      <c r="AK96" s="6"/>
      <c r="AL96" s="6"/>
      <c r="AM96" s="6"/>
      <c r="AN96" s="6"/>
      <c r="AO96" s="6"/>
      <c r="AP96" s="6"/>
      <c r="AQ96" s="6"/>
      <c r="AR96" s="6"/>
      <c r="AS96" s="6"/>
      <c r="AT96" s="6"/>
      <c r="AU96" s="6"/>
      <c r="AV96" s="6"/>
      <c r="AW96" s="6"/>
      <c r="AX96" s="6"/>
      <c r="AY96" s="6"/>
      <c r="AZ96" s="6"/>
      <c r="BA96" s="83">
        <v>93</v>
      </c>
      <c r="BB96" s="84">
        <f t="shared" si="46"/>
        <v>0</v>
      </c>
      <c r="BC96" s="85">
        <f t="shared" si="47"/>
        <v>0</v>
      </c>
      <c r="BD96" s="86">
        <f t="shared" si="48"/>
        <v>0</v>
      </c>
      <c r="BE96" s="86">
        <f t="shared" si="48"/>
        <v>0</v>
      </c>
      <c r="BF96" s="316">
        <v>82</v>
      </c>
      <c r="BG96" s="318"/>
      <c r="BH96" s="318"/>
      <c r="BI96" s="318" t="b">
        <v>0</v>
      </c>
      <c r="BJ96" s="317">
        <v>112</v>
      </c>
      <c r="BK96" s="318"/>
      <c r="BL96" s="318"/>
      <c r="BM96" s="318" t="b">
        <v>0</v>
      </c>
      <c r="BN96" s="319"/>
      <c r="BO96" s="319"/>
      <c r="BP96" s="319"/>
      <c r="CC96" s="302" t="e">
        <f>$BW$11&amp;#REF!</f>
        <v>#REF!</v>
      </c>
      <c r="CD96" s="147" t="e">
        <f>#REF!</f>
        <v>#REF!</v>
      </c>
      <c r="CE96" s="754" t="e">
        <f>IF(OR(#REF!="",#REF!=0),0,19)</f>
        <v>#REF!</v>
      </c>
      <c r="CF96" s="754">
        <v>110</v>
      </c>
      <c r="CG96" s="758">
        <v>19</v>
      </c>
    </row>
    <row r="97" spans="1:85" ht="24.95" customHeight="1">
      <c r="A97" s="895">
        <v>89</v>
      </c>
      <c r="B97" s="1920"/>
      <c r="C97" s="1908"/>
      <c r="D97" s="1908"/>
      <c r="E97" s="1908"/>
      <c r="F97" s="1908"/>
      <c r="G97" s="1909"/>
      <c r="H97" s="543"/>
      <c r="I97" s="544"/>
      <c r="J97" s="545"/>
      <c r="K97" s="928"/>
      <c r="L97" s="928"/>
      <c r="M97" s="921"/>
      <c r="N97" s="894">
        <v>119</v>
      </c>
      <c r="O97" s="1920"/>
      <c r="P97" s="1908"/>
      <c r="Q97" s="1908"/>
      <c r="R97" s="1908"/>
      <c r="S97" s="1908"/>
      <c r="T97" s="1909"/>
      <c r="U97" s="543"/>
      <c r="V97" s="544"/>
      <c r="W97" s="545"/>
      <c r="X97" s="928"/>
      <c r="Y97" s="928"/>
      <c r="Z97" s="545"/>
      <c r="AA97" s="6"/>
      <c r="AB97" s="6"/>
      <c r="AC97" s="6"/>
      <c r="AD97" s="742"/>
      <c r="AE97" s="743"/>
      <c r="AF97" s="6"/>
      <c r="AG97" s="6"/>
      <c r="AH97" s="6"/>
      <c r="AI97" s="6"/>
      <c r="AJ97" s="6"/>
      <c r="AK97" s="6"/>
      <c r="AL97" s="6"/>
      <c r="AM97" s="6"/>
      <c r="AN97" s="6"/>
      <c r="AO97" s="6"/>
      <c r="AP97" s="6"/>
      <c r="AQ97" s="6"/>
      <c r="AR97" s="6"/>
      <c r="AS97" s="6"/>
      <c r="AT97" s="6"/>
      <c r="AU97" s="6"/>
      <c r="AV97" s="6"/>
      <c r="AW97" s="6"/>
      <c r="AX97" s="6"/>
      <c r="AY97" s="6"/>
      <c r="AZ97" s="6"/>
      <c r="BA97" s="83">
        <v>94</v>
      </c>
      <c r="BB97" s="84">
        <f t="shared" si="46"/>
        <v>0</v>
      </c>
      <c r="BC97" s="85">
        <f t="shared" si="47"/>
        <v>0</v>
      </c>
      <c r="BD97" s="86">
        <f t="shared" si="48"/>
        <v>0</v>
      </c>
      <c r="BE97" s="86">
        <f t="shared" si="48"/>
        <v>0</v>
      </c>
      <c r="BF97" s="316">
        <v>83</v>
      </c>
      <c r="BG97" s="318"/>
      <c r="BH97" s="318"/>
      <c r="BI97" s="318" t="b">
        <v>0</v>
      </c>
      <c r="BJ97" s="317">
        <v>113</v>
      </c>
      <c r="BK97" s="318"/>
      <c r="BL97" s="318"/>
      <c r="BM97" s="318" t="b">
        <v>0</v>
      </c>
      <c r="BN97" s="319"/>
      <c r="BO97" s="319"/>
      <c r="BP97" s="319"/>
      <c r="CC97" s="302" t="e">
        <f>$BW$11&amp;#REF!</f>
        <v>#REF!</v>
      </c>
      <c r="CD97" s="147" t="e">
        <f>#REF!</f>
        <v>#REF!</v>
      </c>
      <c r="CE97" s="754" t="e">
        <f>IF(OR(#REF!="",#REF!=0),0,18)</f>
        <v>#REF!</v>
      </c>
      <c r="CF97" s="754">
        <v>110</v>
      </c>
      <c r="CG97" s="758">
        <v>18</v>
      </c>
    </row>
    <row r="98" spans="1:85" ht="24.95" customHeight="1">
      <c r="A98" s="895">
        <v>90</v>
      </c>
      <c r="B98" s="1920"/>
      <c r="C98" s="1908"/>
      <c r="D98" s="1908"/>
      <c r="E98" s="1908"/>
      <c r="F98" s="1908"/>
      <c r="G98" s="1909"/>
      <c r="H98" s="543"/>
      <c r="I98" s="544"/>
      <c r="J98" s="545"/>
      <c r="K98" s="928"/>
      <c r="L98" s="928"/>
      <c r="M98" s="921"/>
      <c r="N98" s="894">
        <v>120</v>
      </c>
      <c r="O98" s="1920"/>
      <c r="P98" s="1908"/>
      <c r="Q98" s="1908"/>
      <c r="R98" s="1908"/>
      <c r="S98" s="1908"/>
      <c r="T98" s="1909"/>
      <c r="U98" s="543"/>
      <c r="V98" s="544"/>
      <c r="W98" s="545"/>
      <c r="X98" s="928"/>
      <c r="Y98" s="928"/>
      <c r="Z98" s="545"/>
      <c r="AA98" s="6"/>
      <c r="AB98" s="6"/>
      <c r="AC98" s="6"/>
      <c r="AD98" s="742"/>
      <c r="AE98" s="743"/>
      <c r="AF98" s="6"/>
      <c r="AG98" s="6"/>
      <c r="AH98" s="6"/>
      <c r="AI98" s="6"/>
      <c r="AJ98" s="6"/>
      <c r="AK98" s="6"/>
      <c r="AL98" s="6"/>
      <c r="AM98" s="6"/>
      <c r="AN98" s="6"/>
      <c r="AO98" s="6"/>
      <c r="AP98" s="6"/>
      <c r="AQ98" s="6"/>
      <c r="AR98" s="6"/>
      <c r="AS98" s="6"/>
      <c r="AT98" s="6"/>
      <c r="AU98" s="6"/>
      <c r="AV98" s="6"/>
      <c r="AW98" s="6"/>
      <c r="AX98" s="6"/>
      <c r="AY98" s="6"/>
      <c r="AZ98" s="6"/>
      <c r="BA98" s="83">
        <v>95</v>
      </c>
      <c r="BB98" s="84">
        <f t="shared" si="46"/>
        <v>0</v>
      </c>
      <c r="BC98" s="85">
        <f t="shared" si="47"/>
        <v>0</v>
      </c>
      <c r="BD98" s="86">
        <f t="shared" si="48"/>
        <v>0</v>
      </c>
      <c r="BE98" s="86">
        <f t="shared" si="48"/>
        <v>0</v>
      </c>
      <c r="BF98" s="316">
        <v>84</v>
      </c>
      <c r="BG98" s="318"/>
      <c r="BH98" s="318"/>
      <c r="BI98" s="318" t="b">
        <v>0</v>
      </c>
      <c r="BJ98" s="317">
        <v>114</v>
      </c>
      <c r="BK98" s="318"/>
      <c r="BL98" s="318"/>
      <c r="BM98" s="318" t="b">
        <v>0</v>
      </c>
      <c r="BN98" s="319"/>
      <c r="BO98" s="319"/>
      <c r="BP98" s="319"/>
      <c r="CC98" s="302" t="e">
        <f>$BW$11&amp;#REF!</f>
        <v>#REF!</v>
      </c>
      <c r="CD98" s="147" t="e">
        <f>#REF!</f>
        <v>#REF!</v>
      </c>
      <c r="CE98" s="754" t="e">
        <f>IF(OR(#REF!="",#REF!=0),0,17)</f>
        <v>#REF!</v>
      </c>
      <c r="CF98" s="754">
        <v>110</v>
      </c>
      <c r="CG98" s="758">
        <v>17</v>
      </c>
    </row>
    <row r="99" spans="1:85" ht="24.95" customHeight="1">
      <c r="A99" s="895">
        <v>91</v>
      </c>
      <c r="B99" s="1920"/>
      <c r="C99" s="1908"/>
      <c r="D99" s="1908"/>
      <c r="E99" s="1908"/>
      <c r="F99" s="1908"/>
      <c r="G99" s="1909"/>
      <c r="H99" s="543"/>
      <c r="I99" s="544"/>
      <c r="J99" s="545"/>
      <c r="K99" s="928"/>
      <c r="L99" s="928"/>
      <c r="M99" s="928"/>
      <c r="N99" s="1085">
        <v>121</v>
      </c>
      <c r="O99" s="1920"/>
      <c r="P99" s="1908"/>
      <c r="Q99" s="1908"/>
      <c r="R99" s="1908"/>
      <c r="S99" s="1908"/>
      <c r="T99" s="1909"/>
      <c r="U99" s="543"/>
      <c r="V99" s="544"/>
      <c r="W99" s="545"/>
      <c r="X99" s="928"/>
      <c r="Y99" s="928"/>
      <c r="Z99" s="545"/>
      <c r="AA99" s="6"/>
      <c r="AB99" s="6"/>
      <c r="AC99" s="6"/>
      <c r="AD99" s="742"/>
      <c r="AE99" s="743"/>
      <c r="AF99" s="6"/>
      <c r="AG99" s="6"/>
      <c r="AH99" s="6"/>
      <c r="AI99" s="6"/>
      <c r="AJ99" s="6"/>
      <c r="AK99" s="6"/>
      <c r="AL99" s="6"/>
      <c r="AM99" s="6"/>
      <c r="AN99" s="6"/>
      <c r="AO99" s="6"/>
      <c r="AP99" s="6"/>
      <c r="AQ99" s="6"/>
      <c r="AR99" s="6"/>
      <c r="AS99" s="6"/>
      <c r="AT99" s="6"/>
      <c r="AU99" s="6"/>
      <c r="AV99" s="6"/>
      <c r="AW99" s="6"/>
      <c r="AX99" s="6"/>
      <c r="AY99" s="6"/>
      <c r="AZ99" s="6"/>
      <c r="BA99" s="83">
        <v>96</v>
      </c>
      <c r="BB99" s="84">
        <f t="shared" si="46"/>
        <v>0</v>
      </c>
      <c r="BC99" s="85">
        <f t="shared" si="47"/>
        <v>0</v>
      </c>
      <c r="BD99" s="86">
        <f t="shared" si="48"/>
        <v>0</v>
      </c>
      <c r="BE99" s="86">
        <f t="shared" si="48"/>
        <v>0</v>
      </c>
      <c r="BF99" s="316">
        <v>85</v>
      </c>
      <c r="BG99" s="318"/>
      <c r="BH99" s="318"/>
      <c r="BI99" s="318" t="b">
        <v>0</v>
      </c>
      <c r="BJ99" s="317">
        <v>115</v>
      </c>
      <c r="BK99" s="318"/>
      <c r="BL99" s="318"/>
      <c r="BM99" s="318" t="b">
        <v>0</v>
      </c>
      <c r="BN99" s="319"/>
      <c r="BO99" s="319"/>
      <c r="BP99" s="319"/>
      <c r="CC99" s="302" t="e">
        <f>$BW$11&amp;#REF!</f>
        <v>#REF!</v>
      </c>
      <c r="CD99" s="147" t="e">
        <f>#REF!</f>
        <v>#REF!</v>
      </c>
      <c r="CE99" s="754" t="e">
        <f>IF(OR(#REF!="",#REF!=0),0,16)</f>
        <v>#REF!</v>
      </c>
      <c r="CF99" s="754">
        <v>110</v>
      </c>
      <c r="CG99" s="758">
        <v>16</v>
      </c>
    </row>
    <row r="100" spans="1:85" ht="24.95" customHeight="1">
      <c r="A100" s="895">
        <v>92</v>
      </c>
      <c r="B100" s="1920"/>
      <c r="C100" s="1908"/>
      <c r="D100" s="1908"/>
      <c r="E100" s="1908"/>
      <c r="F100" s="1908"/>
      <c r="G100" s="1909"/>
      <c r="H100" s="543"/>
      <c r="I100" s="544"/>
      <c r="J100" s="545"/>
      <c r="K100" s="928"/>
      <c r="L100" s="928"/>
      <c r="M100" s="921"/>
      <c r="N100" s="894">
        <v>122</v>
      </c>
      <c r="O100" s="1920"/>
      <c r="P100" s="1908"/>
      <c r="Q100" s="1908"/>
      <c r="R100" s="1908"/>
      <c r="S100" s="1908"/>
      <c r="T100" s="1909"/>
      <c r="U100" s="543"/>
      <c r="V100" s="544"/>
      <c r="W100" s="545"/>
      <c r="X100" s="928"/>
      <c r="Y100" s="928"/>
      <c r="Z100" s="545"/>
      <c r="AA100" s="6"/>
      <c r="AB100" s="6"/>
      <c r="AC100" s="6"/>
      <c r="AD100" s="742"/>
      <c r="AE100" s="743"/>
      <c r="AF100" s="6"/>
      <c r="AG100" s="6"/>
      <c r="AH100" s="6"/>
      <c r="AI100" s="6"/>
      <c r="AJ100" s="6"/>
      <c r="AK100" s="6"/>
      <c r="AL100" s="6"/>
      <c r="AM100" s="6"/>
      <c r="AN100" s="6"/>
      <c r="AO100" s="6"/>
      <c r="AP100" s="6"/>
      <c r="AQ100" s="6"/>
      <c r="AR100" s="6"/>
      <c r="AS100" s="6"/>
      <c r="AT100" s="6"/>
      <c r="AU100" s="6"/>
      <c r="AV100" s="6"/>
      <c r="AW100" s="6"/>
      <c r="AX100" s="6"/>
      <c r="AY100" s="6"/>
      <c r="AZ100" s="6"/>
      <c r="BA100" s="83">
        <v>97</v>
      </c>
      <c r="BB100" s="84">
        <f t="shared" si="46"/>
        <v>0</v>
      </c>
      <c r="BC100" s="85">
        <f t="shared" si="47"/>
        <v>0</v>
      </c>
      <c r="BD100" s="86">
        <f t="shared" si="48"/>
        <v>0</v>
      </c>
      <c r="BE100" s="86">
        <f t="shared" si="48"/>
        <v>0</v>
      </c>
      <c r="BF100" s="316">
        <v>86</v>
      </c>
      <c r="BG100" s="318"/>
      <c r="BH100" s="318"/>
      <c r="BI100" s="318" t="b">
        <v>0</v>
      </c>
      <c r="BJ100" s="317">
        <v>116</v>
      </c>
      <c r="BK100" s="318"/>
      <c r="BL100" s="318"/>
      <c r="BM100" s="318" t="b">
        <v>0</v>
      </c>
      <c r="BN100" s="319"/>
      <c r="BO100" s="319"/>
      <c r="BP100" s="319"/>
      <c r="CC100" s="302" t="e">
        <f>$BW$11&amp;#REF!</f>
        <v>#REF!</v>
      </c>
      <c r="CD100" s="147" t="e">
        <f>#REF!</f>
        <v>#REF!</v>
      </c>
      <c r="CE100" s="754" t="e">
        <f>IF(OR(#REF!="",#REF!=0),0,15)</f>
        <v>#REF!</v>
      </c>
      <c r="CF100" s="754">
        <v>110</v>
      </c>
      <c r="CG100" s="758">
        <v>15</v>
      </c>
    </row>
    <row r="101" spans="1:85" ht="24.95" customHeight="1">
      <c r="A101" s="895">
        <v>93</v>
      </c>
      <c r="B101" s="1920"/>
      <c r="C101" s="1908"/>
      <c r="D101" s="1908"/>
      <c r="E101" s="1908"/>
      <c r="F101" s="1908"/>
      <c r="G101" s="1909"/>
      <c r="H101" s="543"/>
      <c r="I101" s="544"/>
      <c r="J101" s="545"/>
      <c r="K101" s="928"/>
      <c r="L101" s="928"/>
      <c r="M101" s="921"/>
      <c r="N101" s="894">
        <v>123</v>
      </c>
      <c r="O101" s="1920"/>
      <c r="P101" s="1908"/>
      <c r="Q101" s="1908"/>
      <c r="R101" s="1908"/>
      <c r="S101" s="1908"/>
      <c r="T101" s="1909"/>
      <c r="U101" s="543"/>
      <c r="V101" s="544"/>
      <c r="W101" s="545"/>
      <c r="X101" s="928"/>
      <c r="Y101" s="928"/>
      <c r="Z101" s="545"/>
      <c r="AA101" s="6"/>
      <c r="AB101" s="6"/>
      <c r="AC101" s="6"/>
      <c r="AD101" s="742"/>
      <c r="AE101" s="743"/>
      <c r="AF101" s="6"/>
      <c r="AG101" s="6"/>
      <c r="AH101" s="6"/>
      <c r="AI101" s="6"/>
      <c r="AJ101" s="6"/>
      <c r="AK101" s="6"/>
      <c r="AL101" s="6"/>
      <c r="AM101" s="6"/>
      <c r="AN101" s="6"/>
      <c r="AO101" s="6"/>
      <c r="AP101" s="6"/>
      <c r="AQ101" s="6"/>
      <c r="AR101" s="6"/>
      <c r="AS101" s="6"/>
      <c r="AT101" s="6"/>
      <c r="AU101" s="6"/>
      <c r="AV101" s="6"/>
      <c r="AW101" s="6"/>
      <c r="AX101" s="6"/>
      <c r="AY101" s="6"/>
      <c r="AZ101" s="6"/>
      <c r="BA101" s="83">
        <v>98</v>
      </c>
      <c r="BB101" s="84">
        <f t="shared" si="46"/>
        <v>0</v>
      </c>
      <c r="BC101" s="85">
        <f t="shared" si="47"/>
        <v>0</v>
      </c>
      <c r="BD101" s="86">
        <f t="shared" si="48"/>
        <v>0</v>
      </c>
      <c r="BE101" s="86">
        <f t="shared" si="48"/>
        <v>0</v>
      </c>
      <c r="BF101" s="316">
        <v>87</v>
      </c>
      <c r="BG101" s="318"/>
      <c r="BH101" s="318"/>
      <c r="BI101" s="318" t="b">
        <v>0</v>
      </c>
      <c r="BJ101" s="317">
        <v>117</v>
      </c>
      <c r="BK101" s="318"/>
      <c r="BL101" s="318"/>
      <c r="BM101" s="318" t="b">
        <v>0</v>
      </c>
      <c r="BN101" s="319"/>
      <c r="BO101" s="319"/>
      <c r="BP101" s="319"/>
      <c r="CC101" s="302" t="e">
        <f>$BW$11&amp;#REF!</f>
        <v>#REF!</v>
      </c>
      <c r="CD101" s="147" t="e">
        <f>#REF!</f>
        <v>#REF!</v>
      </c>
      <c r="CE101" s="754" t="e">
        <f>IF(OR(#REF!="",#REF!=0),0,14)</f>
        <v>#REF!</v>
      </c>
      <c r="CF101" s="754">
        <v>110</v>
      </c>
      <c r="CG101" s="758">
        <v>14</v>
      </c>
    </row>
    <row r="102" spans="1:85" ht="24.95" customHeight="1">
      <c r="A102" s="895">
        <v>94</v>
      </c>
      <c r="B102" s="1920"/>
      <c r="C102" s="1908"/>
      <c r="D102" s="1908"/>
      <c r="E102" s="1908"/>
      <c r="F102" s="1908"/>
      <c r="G102" s="1909"/>
      <c r="H102" s="543"/>
      <c r="I102" s="544"/>
      <c r="J102" s="545"/>
      <c r="K102" s="928"/>
      <c r="L102" s="928"/>
      <c r="M102" s="921"/>
      <c r="N102" s="894">
        <v>124</v>
      </c>
      <c r="O102" s="1920"/>
      <c r="P102" s="1908"/>
      <c r="Q102" s="1908"/>
      <c r="R102" s="1908"/>
      <c r="S102" s="1908"/>
      <c r="T102" s="1909"/>
      <c r="U102" s="543"/>
      <c r="V102" s="544"/>
      <c r="W102" s="545"/>
      <c r="X102" s="928"/>
      <c r="Y102" s="928"/>
      <c r="Z102" s="545"/>
      <c r="AA102" s="76"/>
      <c r="AB102" s="76"/>
      <c r="AC102" s="76"/>
      <c r="AD102" s="742"/>
      <c r="AE102" s="743"/>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83">
        <v>99</v>
      </c>
      <c r="BB102" s="84">
        <f t="shared" si="46"/>
        <v>0</v>
      </c>
      <c r="BC102" s="85">
        <f t="shared" si="47"/>
        <v>0</v>
      </c>
      <c r="BD102" s="86">
        <f t="shared" si="48"/>
        <v>0</v>
      </c>
      <c r="BE102" s="86">
        <f t="shared" si="48"/>
        <v>0</v>
      </c>
      <c r="BF102" s="316">
        <v>88</v>
      </c>
      <c r="BG102" s="318"/>
      <c r="BH102" s="318"/>
      <c r="BI102" s="318" t="b">
        <v>0</v>
      </c>
      <c r="BJ102" s="317">
        <v>118</v>
      </c>
      <c r="BK102" s="318"/>
      <c r="BL102" s="318"/>
      <c r="BM102" s="318" t="b">
        <v>0</v>
      </c>
      <c r="BN102" s="319"/>
      <c r="BO102" s="319"/>
      <c r="BP102" s="319"/>
      <c r="CC102" s="302" t="e">
        <f>$BW$11&amp;#REF!</f>
        <v>#REF!</v>
      </c>
      <c r="CD102" s="147" t="e">
        <f>#REF!</f>
        <v>#REF!</v>
      </c>
      <c r="CE102" s="754" t="e">
        <f>IF(OR(#REF!="",#REF!=0),0,13)</f>
        <v>#REF!</v>
      </c>
      <c r="CF102" s="754">
        <v>110</v>
      </c>
      <c r="CG102" s="758">
        <v>13</v>
      </c>
    </row>
    <row r="103" spans="1:85" ht="24.95" customHeight="1">
      <c r="A103" s="895">
        <v>95</v>
      </c>
      <c r="B103" s="1920"/>
      <c r="C103" s="1908"/>
      <c r="D103" s="1908"/>
      <c r="E103" s="1908"/>
      <c r="F103" s="1908"/>
      <c r="G103" s="1909"/>
      <c r="H103" s="543"/>
      <c r="I103" s="544"/>
      <c r="J103" s="545"/>
      <c r="K103" s="928"/>
      <c r="L103" s="928"/>
      <c r="M103" s="921"/>
      <c r="N103" s="894">
        <v>125</v>
      </c>
      <c r="O103" s="1920"/>
      <c r="P103" s="1908"/>
      <c r="Q103" s="1908"/>
      <c r="R103" s="1908"/>
      <c r="S103" s="1908"/>
      <c r="T103" s="1909"/>
      <c r="U103" s="543"/>
      <c r="V103" s="544"/>
      <c r="W103" s="545"/>
      <c r="X103" s="928"/>
      <c r="Y103" s="928"/>
      <c r="Z103" s="545"/>
      <c r="AA103" s="76"/>
      <c r="AB103" s="76"/>
      <c r="AC103" s="76"/>
      <c r="AD103" s="744"/>
      <c r="AE103" s="741"/>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83">
        <v>100</v>
      </c>
      <c r="BB103" s="84">
        <f t="shared" si="46"/>
        <v>0</v>
      </c>
      <c r="BC103" s="85">
        <f t="shared" si="47"/>
        <v>0</v>
      </c>
      <c r="BD103" s="86">
        <f t="shared" si="48"/>
        <v>0</v>
      </c>
      <c r="BE103" s="86">
        <f t="shared" si="48"/>
        <v>0</v>
      </c>
      <c r="BF103" s="316">
        <v>89</v>
      </c>
      <c r="BG103" s="318"/>
      <c r="BH103" s="318"/>
      <c r="BI103" s="318" t="b">
        <v>0</v>
      </c>
      <c r="BJ103" s="317">
        <v>119</v>
      </c>
      <c r="BK103" s="318"/>
      <c r="BL103" s="318"/>
      <c r="BM103" s="318" t="b">
        <v>0</v>
      </c>
      <c r="BN103" s="319"/>
      <c r="BO103" s="319"/>
      <c r="BP103" s="319"/>
      <c r="CC103" s="302" t="e">
        <f>$BW$11&amp;#REF!</f>
        <v>#REF!</v>
      </c>
      <c r="CD103" s="147" t="e">
        <f>#REF!</f>
        <v>#REF!</v>
      </c>
      <c r="CE103" s="754" t="e">
        <f>IF(OR(#REF!="",#REF!=0),0,12)</f>
        <v>#REF!</v>
      </c>
      <c r="CF103" s="754">
        <v>110</v>
      </c>
      <c r="CG103" s="758">
        <v>12</v>
      </c>
    </row>
    <row r="104" spans="1:85" ht="24.95" customHeight="1">
      <c r="A104" s="895">
        <v>96</v>
      </c>
      <c r="B104" s="1920"/>
      <c r="C104" s="1908"/>
      <c r="D104" s="1908"/>
      <c r="E104" s="1908"/>
      <c r="F104" s="1908"/>
      <c r="G104" s="1909"/>
      <c r="H104" s="543"/>
      <c r="I104" s="544"/>
      <c r="J104" s="545"/>
      <c r="K104" s="928"/>
      <c r="L104" s="928"/>
      <c r="M104" s="921"/>
      <c r="N104" s="894">
        <v>126</v>
      </c>
      <c r="O104" s="1920"/>
      <c r="P104" s="1908"/>
      <c r="Q104" s="1908"/>
      <c r="R104" s="1908"/>
      <c r="S104" s="1908"/>
      <c r="T104" s="1909"/>
      <c r="U104" s="543"/>
      <c r="V104" s="544"/>
      <c r="W104" s="545"/>
      <c r="X104" s="928"/>
      <c r="Y104" s="928"/>
      <c r="Z104" s="545"/>
      <c r="AA104" s="76"/>
      <c r="AB104" s="76"/>
      <c r="AC104" s="76"/>
      <c r="AD104" s="745"/>
      <c r="AE104" s="741"/>
      <c r="AF104" s="76"/>
      <c r="AG104" s="76"/>
      <c r="AH104" s="76"/>
      <c r="AI104" s="76"/>
      <c r="AJ104" s="76"/>
      <c r="AL104" s="76"/>
      <c r="AM104" s="76"/>
      <c r="AN104" s="76"/>
      <c r="AO104" s="76"/>
      <c r="AP104" s="76"/>
      <c r="AQ104" s="76"/>
      <c r="AR104" s="76"/>
      <c r="AS104" s="76"/>
      <c r="AT104" s="76"/>
      <c r="AU104" s="76"/>
      <c r="AV104" s="76"/>
      <c r="AW104" s="76"/>
      <c r="AX104" s="76"/>
      <c r="AY104" s="76"/>
      <c r="AZ104" s="76"/>
      <c r="BA104" s="83">
        <v>101</v>
      </c>
      <c r="BB104" s="84">
        <f t="shared" si="46"/>
        <v>0</v>
      </c>
      <c r="BC104" s="85">
        <f t="shared" si="47"/>
        <v>0</v>
      </c>
      <c r="BD104" s="86">
        <f t="shared" si="48"/>
        <v>0</v>
      </c>
      <c r="BE104" s="86">
        <f t="shared" si="48"/>
        <v>0</v>
      </c>
      <c r="BF104" s="316">
        <v>90</v>
      </c>
      <c r="BG104" s="318"/>
      <c r="BH104" s="318"/>
      <c r="BI104" s="318" t="b">
        <v>0</v>
      </c>
      <c r="BJ104" s="317">
        <v>120</v>
      </c>
      <c r="BK104" s="318"/>
      <c r="BL104" s="318"/>
      <c r="BM104" s="318" t="b">
        <v>0</v>
      </c>
      <c r="BN104" s="319"/>
      <c r="BO104" s="319"/>
      <c r="BP104" s="319"/>
      <c r="CC104" s="302" t="e">
        <f>$BW$11&amp;#REF!</f>
        <v>#REF!</v>
      </c>
      <c r="CD104" s="147" t="e">
        <f>#REF!</f>
        <v>#REF!</v>
      </c>
      <c r="CE104" s="754" t="e">
        <f>IF(OR(#REF!="",#REF!=0),0,11)</f>
        <v>#REF!</v>
      </c>
      <c r="CF104" s="754">
        <v>110</v>
      </c>
      <c r="CG104" s="758">
        <v>11</v>
      </c>
    </row>
    <row r="105" spans="1:85" ht="24.95" customHeight="1">
      <c r="A105" s="895">
        <v>97</v>
      </c>
      <c r="B105" s="1920"/>
      <c r="C105" s="1908"/>
      <c r="D105" s="1908"/>
      <c r="E105" s="1908"/>
      <c r="F105" s="1908"/>
      <c r="G105" s="1909"/>
      <c r="H105" s="543"/>
      <c r="I105" s="544"/>
      <c r="J105" s="545"/>
      <c r="K105" s="928"/>
      <c r="L105" s="928"/>
      <c r="M105" s="921"/>
      <c r="N105" s="894">
        <v>127</v>
      </c>
      <c r="O105" s="1920"/>
      <c r="P105" s="1908"/>
      <c r="Q105" s="1908"/>
      <c r="R105" s="1908"/>
      <c r="S105" s="1908"/>
      <c r="T105" s="1909"/>
      <c r="U105" s="543"/>
      <c r="V105" s="544"/>
      <c r="W105" s="545"/>
      <c r="X105" s="928"/>
      <c r="Y105" s="928"/>
      <c r="Z105" s="545"/>
      <c r="AA105" s="76"/>
      <c r="AB105" s="76"/>
      <c r="AC105" s="76"/>
      <c r="AD105" s="745"/>
      <c r="AE105" s="741"/>
      <c r="AF105" s="76"/>
      <c r="AG105" s="76"/>
      <c r="AH105" s="76"/>
      <c r="AI105" s="76"/>
      <c r="AJ105" s="76"/>
      <c r="AL105" s="76"/>
      <c r="AM105" s="76"/>
      <c r="AN105" s="76"/>
      <c r="AO105" s="76"/>
      <c r="AP105" s="76"/>
      <c r="AQ105" s="76"/>
      <c r="AR105" s="76"/>
      <c r="AS105" s="76"/>
      <c r="AT105" s="76"/>
      <c r="AU105" s="76"/>
      <c r="AV105" s="76"/>
      <c r="AW105" s="76"/>
      <c r="AX105" s="76"/>
      <c r="AY105" s="76"/>
      <c r="AZ105" s="76"/>
      <c r="BA105" s="83">
        <v>102</v>
      </c>
      <c r="BB105" s="84">
        <f t="shared" si="46"/>
        <v>0</v>
      </c>
      <c r="BC105" s="85">
        <f t="shared" si="47"/>
        <v>0</v>
      </c>
      <c r="BD105" s="86">
        <f t="shared" si="48"/>
        <v>0</v>
      </c>
      <c r="BE105" s="86">
        <f t="shared" si="48"/>
        <v>0</v>
      </c>
      <c r="BF105" s="316">
        <v>91</v>
      </c>
      <c r="BG105" s="318"/>
      <c r="BH105" s="318"/>
      <c r="BI105" s="318" t="b">
        <v>0</v>
      </c>
      <c r="BJ105" s="317">
        <v>121</v>
      </c>
      <c r="BK105" s="318"/>
      <c r="BL105" s="318"/>
      <c r="BM105" s="318" t="b">
        <v>0</v>
      </c>
      <c r="BN105" s="319"/>
      <c r="BO105" s="319"/>
      <c r="BP105" s="319"/>
      <c r="CC105" s="302" t="str">
        <f t="shared" ref="CC105" si="49">$BW$11&amp;BF28</f>
        <v>中日帰/特・療・精</v>
      </c>
      <c r="CD105" s="147">
        <f t="shared" ref="CD105" si="50">BW28</f>
        <v>0</v>
      </c>
      <c r="CE105" s="754">
        <f>IF(OR(BW28="",BW28=0),0,10)</f>
        <v>0</v>
      </c>
      <c r="CF105" s="754">
        <v>110</v>
      </c>
      <c r="CG105" s="758">
        <v>10</v>
      </c>
    </row>
    <row r="106" spans="1:85" ht="24.95" customHeight="1">
      <c r="A106" s="895">
        <v>98</v>
      </c>
      <c r="B106" s="1920"/>
      <c r="C106" s="1908"/>
      <c r="D106" s="1908"/>
      <c r="E106" s="1908"/>
      <c r="F106" s="1908"/>
      <c r="G106" s="1909"/>
      <c r="H106" s="543"/>
      <c r="I106" s="544"/>
      <c r="J106" s="545"/>
      <c r="K106" s="928"/>
      <c r="L106" s="928"/>
      <c r="M106" s="921"/>
      <c r="N106" s="894">
        <v>128</v>
      </c>
      <c r="O106" s="1920"/>
      <c r="P106" s="1908"/>
      <c r="Q106" s="1908"/>
      <c r="R106" s="1908"/>
      <c r="S106" s="1908"/>
      <c r="T106" s="1909"/>
      <c r="U106" s="543"/>
      <c r="V106" s="544"/>
      <c r="W106" s="545"/>
      <c r="X106" s="928"/>
      <c r="Y106" s="928"/>
      <c r="Z106" s="545"/>
      <c r="AA106" s="76"/>
      <c r="AB106" s="76"/>
      <c r="AC106" s="76"/>
      <c r="AD106" s="745"/>
      <c r="AE106" s="741"/>
      <c r="AF106" s="76"/>
      <c r="AG106" s="76"/>
      <c r="AH106" s="76"/>
      <c r="AI106" s="76"/>
      <c r="AJ106" s="76"/>
      <c r="AL106" s="76"/>
      <c r="AM106" s="76"/>
      <c r="AN106" s="76"/>
      <c r="AO106" s="76"/>
      <c r="AP106" s="76"/>
      <c r="AQ106" s="76"/>
      <c r="AR106" s="76"/>
      <c r="AS106" s="76"/>
      <c r="AT106" s="76"/>
      <c r="AU106" s="76"/>
      <c r="AV106" s="76"/>
      <c r="AW106" s="76"/>
      <c r="AX106" s="76"/>
      <c r="AY106" s="76"/>
      <c r="AZ106" s="76"/>
      <c r="BA106" s="83">
        <v>103</v>
      </c>
      <c r="BB106" s="84">
        <f t="shared" si="46"/>
        <v>0</v>
      </c>
      <c r="BC106" s="85">
        <f t="shared" si="47"/>
        <v>0</v>
      </c>
      <c r="BD106" s="86">
        <f t="shared" si="48"/>
        <v>0</v>
      </c>
      <c r="BE106" s="86">
        <f t="shared" si="48"/>
        <v>0</v>
      </c>
      <c r="BF106" s="316">
        <v>92</v>
      </c>
      <c r="BG106" s="318"/>
      <c r="BH106" s="318"/>
      <c r="BI106" s="318" t="b">
        <v>0</v>
      </c>
      <c r="BJ106" s="317">
        <v>122</v>
      </c>
      <c r="BK106" s="318"/>
      <c r="BL106" s="318"/>
      <c r="BM106" s="318" t="b">
        <v>0</v>
      </c>
      <c r="BN106" s="319"/>
      <c r="BO106" s="319"/>
      <c r="BP106" s="319"/>
      <c r="CC106" s="302" t="str">
        <f>BX11&amp;BF17</f>
        <v>引泊/介添</v>
      </c>
      <c r="CD106" s="147">
        <f>BX17</f>
        <v>0</v>
      </c>
      <c r="CE106" s="756">
        <f>IF(OR(BX17="",BX17=0),0,8)</f>
        <v>0</v>
      </c>
      <c r="CF106" s="756">
        <v>330</v>
      </c>
      <c r="CG106" s="757">
        <v>8</v>
      </c>
    </row>
    <row r="107" spans="1:85" ht="24.95" customHeight="1">
      <c r="A107" s="895">
        <v>99</v>
      </c>
      <c r="B107" s="1920"/>
      <c r="C107" s="1908"/>
      <c r="D107" s="1908"/>
      <c r="E107" s="1908"/>
      <c r="F107" s="1908"/>
      <c r="G107" s="1909"/>
      <c r="H107" s="543"/>
      <c r="I107" s="544"/>
      <c r="J107" s="545"/>
      <c r="K107" s="928"/>
      <c r="L107" s="928"/>
      <c r="M107" s="921"/>
      <c r="N107" s="894">
        <v>129</v>
      </c>
      <c r="O107" s="1920"/>
      <c r="P107" s="1908"/>
      <c r="Q107" s="1908"/>
      <c r="R107" s="1908"/>
      <c r="S107" s="1908"/>
      <c r="T107" s="1909"/>
      <c r="U107" s="543"/>
      <c r="V107" s="544"/>
      <c r="W107" s="545"/>
      <c r="X107" s="928"/>
      <c r="Y107" s="928"/>
      <c r="Z107" s="545"/>
      <c r="AA107" s="76"/>
      <c r="AB107" s="76"/>
      <c r="AC107" s="76"/>
      <c r="AD107" s="745"/>
      <c r="AE107" s="741"/>
      <c r="AF107" s="76"/>
      <c r="AG107" s="76"/>
      <c r="AH107" s="76"/>
      <c r="AI107" s="76"/>
      <c r="AJ107" s="76"/>
      <c r="AL107" s="76"/>
      <c r="AM107" s="76"/>
      <c r="AN107" s="76"/>
      <c r="AO107" s="76"/>
      <c r="AP107" s="76"/>
      <c r="AQ107" s="76"/>
      <c r="AR107" s="76"/>
      <c r="AS107" s="76"/>
      <c r="AT107" s="76"/>
      <c r="AU107" s="76"/>
      <c r="AV107" s="76"/>
      <c r="AW107" s="76"/>
      <c r="AX107" s="76"/>
      <c r="AY107" s="76"/>
      <c r="AZ107" s="76"/>
      <c r="BA107" s="83">
        <v>104</v>
      </c>
      <c r="BB107" s="84">
        <f t="shared" si="46"/>
        <v>0</v>
      </c>
      <c r="BC107" s="85">
        <f t="shared" si="47"/>
        <v>0</v>
      </c>
      <c r="BD107" s="86">
        <f t="shared" si="48"/>
        <v>0</v>
      </c>
      <c r="BE107" s="86">
        <f t="shared" si="48"/>
        <v>0</v>
      </c>
      <c r="BF107" s="316">
        <v>93</v>
      </c>
      <c r="BG107" s="318"/>
      <c r="BH107" s="318"/>
      <c r="BI107" s="318" t="b">
        <v>0</v>
      </c>
      <c r="BJ107" s="317">
        <v>123</v>
      </c>
      <c r="BK107" s="318"/>
      <c r="BL107" s="318"/>
      <c r="BM107" s="318" t="b">
        <v>0</v>
      </c>
      <c r="BN107" s="319"/>
      <c r="BO107" s="319"/>
      <c r="BP107" s="319"/>
      <c r="CC107" s="302" t="str">
        <f>BY11&amp;BF17</f>
        <v>引日帰/介添</v>
      </c>
      <c r="CD107" s="147">
        <f>BY17</f>
        <v>0</v>
      </c>
      <c r="CE107" s="756">
        <f>IF(OR(BY17="",BY17=0),0,6)</f>
        <v>0</v>
      </c>
      <c r="CF107" s="756">
        <v>110</v>
      </c>
      <c r="CG107" s="757">
        <v>6</v>
      </c>
    </row>
    <row r="108" spans="1:85" ht="24.95" customHeight="1">
      <c r="A108" s="895">
        <v>100</v>
      </c>
      <c r="B108" s="1920"/>
      <c r="C108" s="1908"/>
      <c r="D108" s="1908"/>
      <c r="E108" s="1908"/>
      <c r="F108" s="1908"/>
      <c r="G108" s="1909"/>
      <c r="H108" s="543"/>
      <c r="I108" s="544"/>
      <c r="J108" s="545"/>
      <c r="K108" s="928"/>
      <c r="L108" s="928"/>
      <c r="M108" s="921"/>
      <c r="N108" s="894">
        <v>130</v>
      </c>
      <c r="O108" s="1920"/>
      <c r="P108" s="1908"/>
      <c r="Q108" s="1908"/>
      <c r="R108" s="1908"/>
      <c r="S108" s="1908"/>
      <c r="T108" s="1909"/>
      <c r="U108" s="543"/>
      <c r="V108" s="544"/>
      <c r="W108" s="545"/>
      <c r="X108" s="928"/>
      <c r="Y108" s="928"/>
      <c r="Z108" s="545"/>
      <c r="AA108" s="76"/>
      <c r="AB108" s="76"/>
      <c r="AC108" s="76"/>
      <c r="AD108" s="745"/>
      <c r="AE108" s="741"/>
      <c r="AF108" s="76"/>
      <c r="AG108" s="76"/>
      <c r="AH108" s="76"/>
      <c r="AJ108" s="76"/>
      <c r="AL108" s="76"/>
      <c r="AM108" s="76"/>
      <c r="AN108" s="76"/>
      <c r="AO108" s="76"/>
      <c r="AP108" s="76"/>
      <c r="AQ108" s="76"/>
      <c r="AR108" s="76"/>
      <c r="AS108" s="76"/>
      <c r="AT108" s="76"/>
      <c r="AU108" s="76"/>
      <c r="AV108" s="76"/>
      <c r="AW108" s="76"/>
      <c r="AX108" s="76"/>
      <c r="AY108" s="76"/>
      <c r="AZ108" s="76"/>
      <c r="BA108" s="83">
        <v>105</v>
      </c>
      <c r="BB108" s="84">
        <f t="shared" si="46"/>
        <v>0</v>
      </c>
      <c r="BC108" s="85">
        <f t="shared" si="47"/>
        <v>0</v>
      </c>
      <c r="BD108" s="86">
        <f t="shared" si="48"/>
        <v>0</v>
      </c>
      <c r="BE108" s="86">
        <f t="shared" si="48"/>
        <v>0</v>
      </c>
      <c r="BF108" s="316">
        <v>94</v>
      </c>
      <c r="BG108" s="318"/>
      <c r="BH108" s="318"/>
      <c r="BI108" s="318" t="b">
        <v>0</v>
      </c>
      <c r="BJ108" s="317">
        <v>124</v>
      </c>
      <c r="BK108" s="318"/>
      <c r="BL108" s="318"/>
      <c r="BM108" s="318" t="b">
        <v>0</v>
      </c>
      <c r="BN108" s="319"/>
      <c r="BO108" s="319"/>
      <c r="BP108" s="319"/>
      <c r="CC108" s="211" t="str">
        <f>BZ11&amp;BF17</f>
        <v>一般泊/介添</v>
      </c>
      <c r="CD108" s="192">
        <f>BZ17</f>
        <v>0</v>
      </c>
      <c r="CE108" s="756">
        <f>IF(OR(BZ17="",BZ17=0),0,4)</f>
        <v>0</v>
      </c>
      <c r="CF108" s="756">
        <v>1100</v>
      </c>
      <c r="CG108" s="757">
        <v>4</v>
      </c>
    </row>
    <row r="109" spans="1:85" ht="24.95" customHeight="1">
      <c r="A109" s="895">
        <v>101</v>
      </c>
      <c r="B109" s="1920"/>
      <c r="C109" s="1908"/>
      <c r="D109" s="1908"/>
      <c r="E109" s="1908"/>
      <c r="F109" s="1908"/>
      <c r="G109" s="1909"/>
      <c r="H109" s="543"/>
      <c r="I109" s="544"/>
      <c r="J109" s="545"/>
      <c r="K109" s="928"/>
      <c r="L109" s="928"/>
      <c r="M109" s="928"/>
      <c r="N109" s="1085">
        <v>131</v>
      </c>
      <c r="O109" s="1907"/>
      <c r="P109" s="1908"/>
      <c r="Q109" s="1908"/>
      <c r="R109" s="1908"/>
      <c r="S109" s="1908"/>
      <c r="T109" s="1909"/>
      <c r="U109" s="543"/>
      <c r="V109" s="544"/>
      <c r="W109" s="545"/>
      <c r="X109" s="928"/>
      <c r="Y109" s="928"/>
      <c r="Z109" s="545"/>
      <c r="AA109" s="76"/>
      <c r="AB109" s="76"/>
      <c r="AC109" s="76"/>
      <c r="AD109" s="745"/>
      <c r="AE109" s="741"/>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83">
        <v>106</v>
      </c>
      <c r="BB109" s="84">
        <f t="shared" si="46"/>
        <v>0</v>
      </c>
      <c r="BC109" s="85">
        <f t="shared" si="47"/>
        <v>0</v>
      </c>
      <c r="BD109" s="86">
        <f t="shared" si="48"/>
        <v>0</v>
      </c>
      <c r="BE109" s="86">
        <f t="shared" si="48"/>
        <v>0</v>
      </c>
      <c r="BF109" s="316">
        <v>95</v>
      </c>
      <c r="BG109" s="318"/>
      <c r="BH109" s="318"/>
      <c r="BI109" s="318" t="b">
        <v>0</v>
      </c>
      <c r="BJ109" s="317">
        <v>125</v>
      </c>
      <c r="BK109" s="318"/>
      <c r="BL109" s="318"/>
      <c r="BM109" s="318" t="b">
        <v>0</v>
      </c>
      <c r="BN109" s="319"/>
      <c r="BO109" s="319"/>
      <c r="BP109" s="319"/>
      <c r="CC109" s="211" t="str">
        <f>CA11&amp;BF17</f>
        <v>一般日帰/介添</v>
      </c>
      <c r="CD109" s="147">
        <f>CA17</f>
        <v>0</v>
      </c>
      <c r="CE109" s="756">
        <f>IF(OR(CA17="",CA17=0),0,2)</f>
        <v>0</v>
      </c>
      <c r="CF109" s="756">
        <v>350</v>
      </c>
      <c r="CG109" s="757">
        <v>2</v>
      </c>
    </row>
    <row r="110" spans="1:85" ht="24.95" customHeight="1">
      <c r="A110" s="895">
        <v>102</v>
      </c>
      <c r="B110" s="1920"/>
      <c r="C110" s="1908"/>
      <c r="D110" s="1908"/>
      <c r="E110" s="1908"/>
      <c r="F110" s="1908"/>
      <c r="G110" s="1909"/>
      <c r="H110" s="543"/>
      <c r="I110" s="544"/>
      <c r="J110" s="545"/>
      <c r="K110" s="928"/>
      <c r="L110" s="928"/>
      <c r="M110" s="921"/>
      <c r="N110" s="894">
        <v>132</v>
      </c>
      <c r="O110" s="1907"/>
      <c r="P110" s="1908"/>
      <c r="Q110" s="1908"/>
      <c r="R110" s="1908"/>
      <c r="S110" s="1908"/>
      <c r="T110" s="1909"/>
      <c r="U110" s="543"/>
      <c r="V110" s="544"/>
      <c r="W110" s="545"/>
      <c r="X110" s="928"/>
      <c r="Y110" s="928"/>
      <c r="Z110" s="545"/>
      <c r="AA110" s="76"/>
      <c r="AB110" s="76"/>
      <c r="AC110" s="76"/>
      <c r="AD110" s="745"/>
      <c r="AE110" s="741"/>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83">
        <v>107</v>
      </c>
      <c r="BB110" s="84">
        <f t="shared" si="46"/>
        <v>0</v>
      </c>
      <c r="BC110" s="85">
        <f t="shared" si="47"/>
        <v>0</v>
      </c>
      <c r="BD110" s="86">
        <f t="shared" si="48"/>
        <v>0</v>
      </c>
      <c r="BE110" s="86">
        <f t="shared" si="48"/>
        <v>0</v>
      </c>
      <c r="BF110" s="316">
        <v>96</v>
      </c>
      <c r="BG110" s="318"/>
      <c r="BH110" s="318"/>
      <c r="BI110" s="318" t="b">
        <v>0</v>
      </c>
      <c r="BJ110" s="317">
        <v>126</v>
      </c>
      <c r="BK110" s="318"/>
      <c r="BL110" s="318"/>
      <c r="BM110" s="318" t="b">
        <v>0</v>
      </c>
      <c r="BN110" s="319"/>
      <c r="BO110" s="319"/>
      <c r="BP110" s="319"/>
      <c r="CC110" s="1" t="s">
        <v>2956</v>
      </c>
      <c r="CD110" s="1">
        <f>BK61</f>
        <v>0</v>
      </c>
      <c r="CE110" s="756">
        <f>IF(OR(BK61="",BK61=0),0,1)</f>
        <v>0</v>
      </c>
      <c r="CF110" s="757"/>
      <c r="CG110" s="757">
        <v>1</v>
      </c>
    </row>
    <row r="111" spans="1:85" ht="24.95" customHeight="1">
      <c r="A111" s="895">
        <v>103</v>
      </c>
      <c r="B111" s="1920"/>
      <c r="C111" s="1908"/>
      <c r="D111" s="1908"/>
      <c r="E111" s="1908"/>
      <c r="F111" s="1908"/>
      <c r="G111" s="1909"/>
      <c r="H111" s="543"/>
      <c r="I111" s="544"/>
      <c r="J111" s="545"/>
      <c r="K111" s="928"/>
      <c r="L111" s="928"/>
      <c r="M111" s="921"/>
      <c r="N111" s="894">
        <v>133</v>
      </c>
      <c r="O111" s="1907"/>
      <c r="P111" s="1908"/>
      <c r="Q111" s="1908"/>
      <c r="R111" s="1908"/>
      <c r="S111" s="1908"/>
      <c r="T111" s="1909"/>
      <c r="U111" s="543"/>
      <c r="V111" s="544"/>
      <c r="W111" s="545"/>
      <c r="X111" s="928"/>
      <c r="Y111" s="928"/>
      <c r="Z111" s="545"/>
      <c r="AD111" s="745"/>
      <c r="AE111" s="741"/>
      <c r="BA111" s="83">
        <v>108</v>
      </c>
      <c r="BB111" s="84">
        <f t="shared" si="46"/>
        <v>0</v>
      </c>
      <c r="BC111" s="85">
        <f t="shared" si="47"/>
        <v>0</v>
      </c>
      <c r="BD111" s="86">
        <f t="shared" si="48"/>
        <v>0</v>
      </c>
      <c r="BE111" s="86">
        <f t="shared" si="48"/>
        <v>0</v>
      </c>
      <c r="BF111" s="316">
        <v>97</v>
      </c>
      <c r="BG111" s="318"/>
      <c r="BH111" s="318"/>
      <c r="BI111" s="318" t="b">
        <v>0</v>
      </c>
      <c r="BJ111" s="317">
        <v>127</v>
      </c>
      <c r="BK111" s="318"/>
      <c r="BL111" s="318"/>
      <c r="BM111" s="318" t="b">
        <v>0</v>
      </c>
      <c r="BN111" s="319"/>
      <c r="BO111" s="319"/>
      <c r="BP111" s="319"/>
    </row>
    <row r="112" spans="1:85" ht="24.95" customHeight="1">
      <c r="A112" s="895">
        <v>104</v>
      </c>
      <c r="B112" s="1920"/>
      <c r="C112" s="1908"/>
      <c r="D112" s="1908"/>
      <c r="E112" s="1908"/>
      <c r="F112" s="1908"/>
      <c r="G112" s="1909"/>
      <c r="H112" s="543"/>
      <c r="I112" s="544"/>
      <c r="J112" s="545"/>
      <c r="K112" s="928"/>
      <c r="L112" s="928"/>
      <c r="M112" s="921"/>
      <c r="N112" s="894">
        <v>134</v>
      </c>
      <c r="O112" s="1907"/>
      <c r="P112" s="1908"/>
      <c r="Q112" s="1908"/>
      <c r="R112" s="1908"/>
      <c r="S112" s="1908"/>
      <c r="T112" s="1909"/>
      <c r="U112" s="543"/>
      <c r="V112" s="544"/>
      <c r="W112" s="545"/>
      <c r="X112" s="928"/>
      <c r="Y112" s="928"/>
      <c r="Z112" s="545"/>
      <c r="AD112" s="745"/>
      <c r="AE112" s="741"/>
      <c r="BA112" s="83">
        <v>109</v>
      </c>
      <c r="BB112" s="84">
        <f t="shared" si="46"/>
        <v>0</v>
      </c>
      <c r="BC112" s="85">
        <f t="shared" si="47"/>
        <v>0</v>
      </c>
      <c r="BD112" s="86">
        <f t="shared" si="48"/>
        <v>0</v>
      </c>
      <c r="BE112" s="86">
        <f t="shared" si="48"/>
        <v>0</v>
      </c>
      <c r="BF112" s="316">
        <v>98</v>
      </c>
      <c r="BG112" s="318"/>
      <c r="BH112" s="318"/>
      <c r="BI112" s="318" t="b">
        <v>0</v>
      </c>
      <c r="BJ112" s="317">
        <v>128</v>
      </c>
      <c r="BK112" s="318"/>
      <c r="BL112" s="318"/>
      <c r="BM112" s="318" t="b">
        <v>0</v>
      </c>
      <c r="BN112" s="319"/>
      <c r="BO112" s="319"/>
      <c r="BP112" s="319"/>
    </row>
    <row r="113" spans="1:88" ht="24.95" customHeight="1">
      <c r="A113" s="895">
        <v>105</v>
      </c>
      <c r="B113" s="1920"/>
      <c r="C113" s="1908"/>
      <c r="D113" s="1908"/>
      <c r="E113" s="1908"/>
      <c r="F113" s="1908"/>
      <c r="G113" s="1909"/>
      <c r="H113" s="543"/>
      <c r="I113" s="544"/>
      <c r="J113" s="545"/>
      <c r="K113" s="928"/>
      <c r="L113" s="928"/>
      <c r="M113" s="921"/>
      <c r="N113" s="894">
        <v>135</v>
      </c>
      <c r="O113" s="1907"/>
      <c r="P113" s="1908"/>
      <c r="Q113" s="1908"/>
      <c r="R113" s="1908"/>
      <c r="S113" s="1908"/>
      <c r="T113" s="1909"/>
      <c r="U113" s="543"/>
      <c r="V113" s="544"/>
      <c r="W113" s="545"/>
      <c r="X113" s="928"/>
      <c r="Y113" s="928"/>
      <c r="Z113" s="545"/>
      <c r="AD113" s="745"/>
      <c r="AE113" s="741"/>
      <c r="BA113" s="83">
        <v>110</v>
      </c>
      <c r="BB113" s="84">
        <f t="shared" si="46"/>
        <v>0</v>
      </c>
      <c r="BC113" s="85">
        <f t="shared" si="47"/>
        <v>0</v>
      </c>
      <c r="BD113" s="86">
        <f t="shared" si="48"/>
        <v>0</v>
      </c>
      <c r="BE113" s="86">
        <f t="shared" si="48"/>
        <v>0</v>
      </c>
      <c r="BF113" s="316">
        <v>99</v>
      </c>
      <c r="BG113" s="318"/>
      <c r="BH113" s="318"/>
      <c r="BI113" s="318" t="b">
        <v>0</v>
      </c>
      <c r="BJ113" s="317">
        <v>129</v>
      </c>
      <c r="BK113" s="318"/>
      <c r="BL113" s="318"/>
      <c r="BM113" s="318" t="b">
        <v>0</v>
      </c>
      <c r="BN113" s="319"/>
      <c r="BO113" s="319"/>
      <c r="BP113" s="319"/>
    </row>
    <row r="114" spans="1:88" ht="24.95" customHeight="1">
      <c r="A114" s="895">
        <v>106</v>
      </c>
      <c r="B114" s="1920"/>
      <c r="C114" s="1908"/>
      <c r="D114" s="1908"/>
      <c r="E114" s="1908"/>
      <c r="F114" s="1908"/>
      <c r="G114" s="1909"/>
      <c r="H114" s="543"/>
      <c r="I114" s="544"/>
      <c r="J114" s="545"/>
      <c r="K114" s="928"/>
      <c r="L114" s="928"/>
      <c r="M114" s="921"/>
      <c r="N114" s="894">
        <v>136</v>
      </c>
      <c r="O114" s="1907"/>
      <c r="P114" s="1908"/>
      <c r="Q114" s="1908"/>
      <c r="R114" s="1908"/>
      <c r="S114" s="1908"/>
      <c r="T114" s="1909"/>
      <c r="U114" s="543"/>
      <c r="V114" s="544"/>
      <c r="W114" s="545"/>
      <c r="X114" s="928"/>
      <c r="Y114" s="928"/>
      <c r="Z114" s="545"/>
      <c r="AD114" s="745"/>
      <c r="AE114" s="741"/>
      <c r="BA114" s="83">
        <v>111</v>
      </c>
      <c r="BB114" s="84">
        <f t="shared" ref="BB114:BB143" si="51">COUNTA(U89:V89)</f>
        <v>0</v>
      </c>
      <c r="BC114" s="85">
        <f>COUNTA(X89)</f>
        <v>0</v>
      </c>
      <c r="BD114" s="86">
        <f t="shared" ref="BD114:BD143" si="52">BB114-COUNTA(U89)</f>
        <v>0</v>
      </c>
      <c r="BE114" s="86">
        <f t="shared" ref="BE114:BE143" si="53">BC114-COUNTA(V89)</f>
        <v>0</v>
      </c>
      <c r="BF114" s="316">
        <v>100</v>
      </c>
      <c r="BG114" s="318"/>
      <c r="BH114" s="318"/>
      <c r="BI114" s="318" t="b">
        <v>0</v>
      </c>
      <c r="BJ114" s="317">
        <v>130</v>
      </c>
      <c r="BK114" s="318"/>
      <c r="BL114" s="318"/>
      <c r="BM114" s="318" t="b">
        <v>0</v>
      </c>
      <c r="BN114" s="319"/>
      <c r="BO114" s="319"/>
      <c r="BP114" s="319"/>
    </row>
    <row r="115" spans="1:88" ht="24.95" customHeight="1">
      <c r="A115" s="895">
        <v>107</v>
      </c>
      <c r="B115" s="1920"/>
      <c r="C115" s="1908"/>
      <c r="D115" s="1908"/>
      <c r="E115" s="1908"/>
      <c r="F115" s="1908"/>
      <c r="G115" s="1909"/>
      <c r="H115" s="543"/>
      <c r="I115" s="544"/>
      <c r="J115" s="545"/>
      <c r="K115" s="928"/>
      <c r="L115" s="928"/>
      <c r="M115" s="921"/>
      <c r="N115" s="894">
        <v>137</v>
      </c>
      <c r="O115" s="1907"/>
      <c r="P115" s="1908"/>
      <c r="Q115" s="1908"/>
      <c r="R115" s="1908"/>
      <c r="S115" s="1908"/>
      <c r="T115" s="1909"/>
      <c r="U115" s="543"/>
      <c r="V115" s="544"/>
      <c r="W115" s="545"/>
      <c r="X115" s="928"/>
      <c r="Y115" s="928"/>
      <c r="Z115" s="545"/>
      <c r="AD115" s="745"/>
      <c r="AE115" s="743"/>
      <c r="BA115" s="83">
        <v>112</v>
      </c>
      <c r="BB115" s="84">
        <f t="shared" si="51"/>
        <v>0</v>
      </c>
      <c r="BC115" s="85">
        <f t="shared" ref="BC115:BC143" si="54">COUNTA(X90)</f>
        <v>0</v>
      </c>
      <c r="BD115" s="86">
        <f t="shared" si="52"/>
        <v>0</v>
      </c>
      <c r="BE115" s="86">
        <f t="shared" si="53"/>
        <v>0</v>
      </c>
      <c r="BF115" s="316">
        <v>101</v>
      </c>
      <c r="BG115" s="318"/>
      <c r="BH115" s="318"/>
      <c r="BI115" s="318" t="b">
        <v>0</v>
      </c>
      <c r="BJ115" s="317">
        <v>131</v>
      </c>
      <c r="BK115" s="318"/>
      <c r="BL115" s="318"/>
      <c r="BM115" s="318" t="b">
        <v>0</v>
      </c>
      <c r="BN115" s="319"/>
      <c r="BO115" s="319"/>
      <c r="BP115" s="319"/>
    </row>
    <row r="116" spans="1:88" ht="24.95" customHeight="1">
      <c r="A116" s="895">
        <v>108</v>
      </c>
      <c r="B116" s="1920"/>
      <c r="C116" s="1908"/>
      <c r="D116" s="1908"/>
      <c r="E116" s="1908"/>
      <c r="F116" s="1908"/>
      <c r="G116" s="1909"/>
      <c r="H116" s="543"/>
      <c r="I116" s="544"/>
      <c r="J116" s="545"/>
      <c r="K116" s="928"/>
      <c r="L116" s="928"/>
      <c r="M116" s="921"/>
      <c r="N116" s="894">
        <v>138</v>
      </c>
      <c r="O116" s="1907"/>
      <c r="P116" s="1908"/>
      <c r="Q116" s="1908"/>
      <c r="R116" s="1908"/>
      <c r="S116" s="1908"/>
      <c r="T116" s="1909"/>
      <c r="U116" s="543"/>
      <c r="V116" s="544"/>
      <c r="W116" s="545"/>
      <c r="X116" s="928"/>
      <c r="Y116" s="928"/>
      <c r="Z116" s="545"/>
      <c r="AD116" s="745"/>
      <c r="AE116" s="743"/>
      <c r="BA116" s="83">
        <v>113</v>
      </c>
      <c r="BB116" s="84">
        <f t="shared" si="51"/>
        <v>0</v>
      </c>
      <c r="BC116" s="85">
        <f t="shared" si="54"/>
        <v>0</v>
      </c>
      <c r="BD116" s="86">
        <f t="shared" si="52"/>
        <v>0</v>
      </c>
      <c r="BE116" s="86">
        <f t="shared" si="53"/>
        <v>0</v>
      </c>
      <c r="BF116" s="316">
        <v>102</v>
      </c>
      <c r="BG116" s="318"/>
      <c r="BH116" s="318"/>
      <c r="BI116" s="318" t="b">
        <v>0</v>
      </c>
      <c r="BJ116" s="317">
        <v>132</v>
      </c>
      <c r="BK116" s="318"/>
      <c r="BL116" s="318"/>
      <c r="BM116" s="318" t="b">
        <v>0</v>
      </c>
      <c r="BN116" s="319"/>
      <c r="BO116" s="319"/>
      <c r="BP116" s="319"/>
    </row>
    <row r="117" spans="1:88" ht="24.95" customHeight="1">
      <c r="A117" s="895">
        <v>109</v>
      </c>
      <c r="B117" s="1920"/>
      <c r="C117" s="1908"/>
      <c r="D117" s="1908"/>
      <c r="E117" s="1908"/>
      <c r="F117" s="1908"/>
      <c r="G117" s="1909"/>
      <c r="H117" s="543"/>
      <c r="I117" s="544"/>
      <c r="J117" s="545"/>
      <c r="K117" s="928"/>
      <c r="L117" s="928"/>
      <c r="M117" s="921"/>
      <c r="N117" s="894">
        <v>139</v>
      </c>
      <c r="O117" s="1907"/>
      <c r="P117" s="1908"/>
      <c r="Q117" s="1908"/>
      <c r="R117" s="1908"/>
      <c r="S117" s="1908"/>
      <c r="T117" s="1909"/>
      <c r="U117" s="543"/>
      <c r="V117" s="544"/>
      <c r="W117" s="545"/>
      <c r="X117" s="928"/>
      <c r="Y117" s="928"/>
      <c r="Z117" s="545"/>
      <c r="AD117" s="745"/>
      <c r="AE117" s="743"/>
      <c r="BA117" s="83">
        <v>114</v>
      </c>
      <c r="BB117" s="84">
        <f t="shared" si="51"/>
        <v>0</v>
      </c>
      <c r="BC117" s="85">
        <f t="shared" si="54"/>
        <v>0</v>
      </c>
      <c r="BD117" s="86">
        <f t="shared" si="52"/>
        <v>0</v>
      </c>
      <c r="BE117" s="86">
        <f t="shared" si="53"/>
        <v>0</v>
      </c>
      <c r="BF117" s="316">
        <v>103</v>
      </c>
      <c r="BG117" s="318"/>
      <c r="BH117" s="318"/>
      <c r="BI117" s="318" t="b">
        <v>0</v>
      </c>
      <c r="BJ117" s="317">
        <v>133</v>
      </c>
      <c r="BK117" s="318"/>
      <c r="BL117" s="318"/>
      <c r="BM117" s="318" t="b">
        <v>0</v>
      </c>
      <c r="BN117" s="319"/>
      <c r="BO117" s="319"/>
      <c r="BP117" s="319"/>
    </row>
    <row r="118" spans="1:88" ht="24.95" customHeight="1">
      <c r="A118" s="895">
        <v>110</v>
      </c>
      <c r="B118" s="1920"/>
      <c r="C118" s="1908"/>
      <c r="D118" s="1908"/>
      <c r="E118" s="1908"/>
      <c r="F118" s="1908"/>
      <c r="G118" s="1909"/>
      <c r="H118" s="543"/>
      <c r="I118" s="544"/>
      <c r="J118" s="545"/>
      <c r="K118" s="928"/>
      <c r="L118" s="928"/>
      <c r="M118" s="921"/>
      <c r="N118" s="894">
        <v>140</v>
      </c>
      <c r="O118" s="1907"/>
      <c r="P118" s="1908"/>
      <c r="Q118" s="1908"/>
      <c r="R118" s="1908"/>
      <c r="S118" s="1908"/>
      <c r="T118" s="1909"/>
      <c r="U118" s="543"/>
      <c r="V118" s="544"/>
      <c r="W118" s="545"/>
      <c r="X118" s="928"/>
      <c r="Y118" s="928"/>
      <c r="Z118" s="545"/>
      <c r="AD118" s="745"/>
      <c r="AE118" s="743"/>
      <c r="BA118" s="83">
        <v>115</v>
      </c>
      <c r="BB118" s="84">
        <f t="shared" si="51"/>
        <v>0</v>
      </c>
      <c r="BC118" s="85">
        <f t="shared" si="54"/>
        <v>0</v>
      </c>
      <c r="BD118" s="86">
        <f t="shared" si="52"/>
        <v>0</v>
      </c>
      <c r="BE118" s="86">
        <f t="shared" si="53"/>
        <v>0</v>
      </c>
      <c r="BF118" s="316">
        <v>104</v>
      </c>
      <c r="BG118" s="318"/>
      <c r="BH118" s="318"/>
      <c r="BI118" s="318" t="b">
        <v>0</v>
      </c>
      <c r="BJ118" s="317">
        <v>134</v>
      </c>
      <c r="BK118" s="318"/>
      <c r="BL118" s="318"/>
      <c r="BM118" s="318" t="b">
        <v>0</v>
      </c>
      <c r="BN118" s="319"/>
      <c r="BO118" s="319"/>
      <c r="BP118" s="319"/>
    </row>
    <row r="119" spans="1:88" ht="24.95" customHeight="1">
      <c r="A119" s="558"/>
      <c r="B119" s="555"/>
      <c r="C119" s="555"/>
      <c r="D119" s="555"/>
      <c r="E119" s="555"/>
      <c r="F119" s="555"/>
      <c r="G119" s="555"/>
      <c r="H119" s="555"/>
      <c r="I119" s="555"/>
      <c r="J119" s="555"/>
      <c r="K119" s="555"/>
      <c r="L119" s="555"/>
      <c r="M119" s="555"/>
      <c r="N119" s="555"/>
      <c r="O119" s="555"/>
      <c r="P119" s="555"/>
      <c r="Q119" s="555"/>
      <c r="R119" s="555"/>
      <c r="S119" s="555"/>
      <c r="T119" s="555"/>
      <c r="U119" s="555"/>
      <c r="V119" s="555"/>
      <c r="W119" s="555"/>
      <c r="X119" s="555"/>
      <c r="Y119" s="555"/>
      <c r="Z119" s="555"/>
      <c r="AD119" s="745"/>
      <c r="AE119" s="743"/>
      <c r="BA119" s="83">
        <v>116</v>
      </c>
      <c r="BB119" s="84">
        <f t="shared" si="51"/>
        <v>0</v>
      </c>
      <c r="BC119" s="85">
        <f t="shared" si="54"/>
        <v>0</v>
      </c>
      <c r="BD119" s="86">
        <f t="shared" si="52"/>
        <v>0</v>
      </c>
      <c r="BE119" s="86">
        <f t="shared" si="53"/>
        <v>0</v>
      </c>
      <c r="BF119" s="316">
        <v>105</v>
      </c>
      <c r="BG119" s="318"/>
      <c r="BH119" s="318"/>
      <c r="BI119" s="318" t="b">
        <v>0</v>
      </c>
      <c r="BJ119" s="317">
        <v>135</v>
      </c>
      <c r="BK119" s="318"/>
      <c r="BL119" s="318"/>
      <c r="BM119" s="318" t="b">
        <v>0</v>
      </c>
      <c r="BN119" s="319"/>
      <c r="BO119" s="319"/>
      <c r="BP119" s="319"/>
    </row>
    <row r="120" spans="1:88" ht="23.25">
      <c r="A120" s="1324" t="s">
        <v>165</v>
      </c>
      <c r="B120" s="1324"/>
      <c r="C120" s="1324"/>
      <c r="D120" s="1324"/>
      <c r="E120" s="1324"/>
      <c r="F120" s="1324"/>
      <c r="G120" s="1324"/>
      <c r="H120" s="1324"/>
      <c r="I120" s="1324"/>
      <c r="J120" s="1324"/>
      <c r="K120" s="1324"/>
      <c r="L120" s="1324"/>
      <c r="M120" s="1324"/>
      <c r="N120" s="1324"/>
      <c r="O120" s="1324"/>
      <c r="P120" s="1324"/>
      <c r="Q120" s="1324"/>
      <c r="R120" s="1324"/>
      <c r="S120" s="1324"/>
      <c r="T120" s="1324"/>
      <c r="U120" s="1324"/>
      <c r="V120" s="1324"/>
      <c r="W120" s="1324"/>
      <c r="X120" s="1324"/>
      <c r="Y120" s="1324"/>
      <c r="Z120" s="1324"/>
      <c r="AA120" s="14"/>
      <c r="AB120" s="14"/>
      <c r="AC120" s="14"/>
      <c r="AD120" s="745"/>
      <c r="AE120" s="743"/>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83">
        <v>117</v>
      </c>
      <c r="BB120" s="84">
        <f t="shared" si="51"/>
        <v>0</v>
      </c>
      <c r="BC120" s="85">
        <f t="shared" si="54"/>
        <v>0</v>
      </c>
      <c r="BD120" s="86">
        <f t="shared" si="52"/>
        <v>0</v>
      </c>
      <c r="BE120" s="86">
        <f t="shared" si="53"/>
        <v>0</v>
      </c>
      <c r="BF120" s="316">
        <v>106</v>
      </c>
      <c r="BG120" s="318"/>
      <c r="BH120" s="318"/>
      <c r="BI120" s="318" t="b">
        <v>0</v>
      </c>
      <c r="BJ120" s="317">
        <v>136</v>
      </c>
      <c r="BK120" s="318"/>
      <c r="BL120" s="318"/>
      <c r="BM120" s="318" t="b">
        <v>0</v>
      </c>
      <c r="BN120" s="319"/>
      <c r="BO120" s="319"/>
      <c r="BP120" s="319"/>
    </row>
    <row r="121" spans="1:88" ht="24" thickBot="1">
      <c r="A121" s="534">
        <f>COUNTIFS(K132:K161,"a",H132:H161,"&gt;0")</f>
        <v>0</v>
      </c>
      <c r="B121" s="534">
        <f>COUNTIFS(X132:X161,"a",U132:U161,"&gt;0")</f>
        <v>0</v>
      </c>
      <c r="C121" s="534">
        <f>COUNTIFS(K132:K161,"b",H132:H161,"&gt;0")</f>
        <v>0</v>
      </c>
      <c r="D121" s="534">
        <f>COUNTIFS(X132:X161,"b",U132:U161,"&gt;0")</f>
        <v>0</v>
      </c>
      <c r="E121" s="534">
        <f>COUNTIFS(K132:K161,"c",H132:H161,"&gt;0")</f>
        <v>0</v>
      </c>
      <c r="F121" s="534">
        <f>COUNTIFS(X132:X161,"c",U132:U161,"&gt;0")</f>
        <v>0</v>
      </c>
      <c r="G121" s="534">
        <f>COUNTIFS(K132:K161,"d",H132:H161,"&gt;0")</f>
        <v>0</v>
      </c>
      <c r="H121" s="534">
        <f>COUNTIFS(X132:X161,"d",U132:U161,"&gt;0")</f>
        <v>0</v>
      </c>
      <c r="I121" s="534">
        <f>COUNTIFS(K132:K161,"e",H132:H161,"&gt;0")</f>
        <v>0</v>
      </c>
      <c r="J121" s="534">
        <f>COUNTIFS(X132:X161,"e",U132:U161,"&gt;0")</f>
        <v>0</v>
      </c>
      <c r="K121" s="534">
        <f>COUNTIFS(K132:K161,"f",H132:H161,"&gt;0")</f>
        <v>0</v>
      </c>
      <c r="L121" s="534">
        <f>COUNTIFS(X132:X161,"f",U132:U161,"&gt;0")</f>
        <v>0</v>
      </c>
      <c r="M121" s="534">
        <f>COUNTIFS(K132:K161,"g",H132:H161,"&gt;0")</f>
        <v>0</v>
      </c>
      <c r="N121" s="534">
        <f>COUNTIFS(X132:X161,"g",U132:U161,"&gt;0")</f>
        <v>0</v>
      </c>
      <c r="O121" s="534">
        <f>COUNTIFS(K132:K161,"h",H132:H161,"&gt;0")</f>
        <v>0</v>
      </c>
      <c r="P121" s="534">
        <f>COUNTIFS(X132:X161,"h",U132:U161,"&gt;0")</f>
        <v>0</v>
      </c>
      <c r="Q121" s="534">
        <f>COUNTIFS(K132:K161,"i",H132:H161,"&gt;0")</f>
        <v>0</v>
      </c>
      <c r="R121" s="534">
        <f>COUNTIFS(X132:X161,"i",U132:U161,"&gt;0")</f>
        <v>0</v>
      </c>
      <c r="S121" s="535">
        <f>SUM(A121:R121)</f>
        <v>0</v>
      </c>
      <c r="T121" s="535"/>
      <c r="U121" s="535"/>
      <c r="V121" s="535"/>
      <c r="W121" s="1906" t="s">
        <v>483</v>
      </c>
      <c r="X121" s="1906"/>
      <c r="Y121" s="1906">
        <v>4</v>
      </c>
      <c r="Z121" s="1906"/>
      <c r="AA121" s="14"/>
      <c r="AB121" s="14"/>
      <c r="AC121" s="14"/>
      <c r="AD121" s="745"/>
      <c r="AE121" s="743"/>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83">
        <v>118</v>
      </c>
      <c r="BB121" s="84">
        <f t="shared" si="51"/>
        <v>0</v>
      </c>
      <c r="BC121" s="85">
        <f t="shared" si="54"/>
        <v>0</v>
      </c>
      <c r="BD121" s="86">
        <f t="shared" si="52"/>
        <v>0</v>
      </c>
      <c r="BE121" s="86">
        <f t="shared" si="53"/>
        <v>0</v>
      </c>
      <c r="BF121" s="316">
        <v>107</v>
      </c>
      <c r="BG121" s="318"/>
      <c r="BH121" s="318"/>
      <c r="BI121" s="318" t="b">
        <v>0</v>
      </c>
      <c r="BJ121" s="317">
        <v>137</v>
      </c>
      <c r="BK121" s="318"/>
      <c r="BL121" s="318"/>
      <c r="BM121" s="318" t="b">
        <v>0</v>
      </c>
      <c r="BN121" s="319"/>
      <c r="BO121" s="319"/>
      <c r="BP121" s="319"/>
    </row>
    <row r="122" spans="1:88" s="55" customFormat="1" ht="23.25">
      <c r="A122" s="534">
        <f>COUNTIFS(K132:K161,"a",I132:I161,"&gt;0")</f>
        <v>0</v>
      </c>
      <c r="B122" s="534">
        <f>COUNTIFS(X132:X161,"a",V132:V161,"&gt;0")</f>
        <v>0</v>
      </c>
      <c r="C122" s="534">
        <f>COUNTIFS(K132:K161,"b",I132:I161,"&gt;0")</f>
        <v>0</v>
      </c>
      <c r="D122" s="534">
        <f>COUNTIFS(X132:X161,"b",V132:V161,"&gt;0")</f>
        <v>0</v>
      </c>
      <c r="E122" s="534">
        <f>COUNTIFS(K132:K161,"c",I132:I161,"&gt;0")</f>
        <v>0</v>
      </c>
      <c r="F122" s="534">
        <f>COUNTIFS(X132:X161,"c",V132:V161,"&gt;0")</f>
        <v>0</v>
      </c>
      <c r="G122" s="534">
        <f>COUNTIFS(K132:K161,"d",I132:I161,"&gt;0")</f>
        <v>0</v>
      </c>
      <c r="H122" s="534">
        <f>COUNTIFS(X132:X161,"d",V132:V161,"&gt;0")</f>
        <v>0</v>
      </c>
      <c r="I122" s="534">
        <f>COUNTIFS(K132:K161,"e",I132:I161,"&gt;0")</f>
        <v>0</v>
      </c>
      <c r="J122" s="534">
        <f>COUNTIFS(X132:X161,"e",V132:V161,"&gt;0")</f>
        <v>0</v>
      </c>
      <c r="K122" s="534">
        <f>COUNTIFS(K132:K161,"f",I132:I161,"&gt;0")</f>
        <v>0</v>
      </c>
      <c r="L122" s="534">
        <f>COUNTIFS(X132:X161,"f",V132:V161,"&gt;0")</f>
        <v>0</v>
      </c>
      <c r="M122" s="534">
        <f>COUNTIFS(K132:K161,"g",I132:I161,"&gt;0")</f>
        <v>0</v>
      </c>
      <c r="N122" s="534">
        <f>COUNTIFS(X132:X161,"g",V132:V161,"&gt;0")</f>
        <v>0</v>
      </c>
      <c r="O122" s="534">
        <f>COUNTIFS(K132:K161,"h",I132:I161,"&gt;0")</f>
        <v>0</v>
      </c>
      <c r="P122" s="534">
        <f>COUNTIFS(X132:X161,"h",V132:V161,"&gt;0")</f>
        <v>0</v>
      </c>
      <c r="Q122" s="534">
        <f>COUNTIFS(K132:K161,"i",I132:I161,"&gt;0")</f>
        <v>0</v>
      </c>
      <c r="R122" s="534">
        <f>COUNTIFS(X132:X161,"i",V132:V161,"&gt;0")</f>
        <v>0</v>
      </c>
      <c r="S122" s="535">
        <f>SUM(A122:R122)</f>
        <v>0</v>
      </c>
      <c r="T122" s="535"/>
      <c r="U122" s="535"/>
      <c r="V122" s="535"/>
      <c r="W122" s="536"/>
      <c r="X122" s="536"/>
      <c r="Y122" s="536"/>
      <c r="Z122" s="536"/>
      <c r="AA122" s="14"/>
      <c r="AB122" s="14"/>
      <c r="AC122" s="14"/>
      <c r="AD122" s="745"/>
      <c r="AE122" s="743"/>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83">
        <v>119</v>
      </c>
      <c r="BB122" s="84">
        <f t="shared" si="51"/>
        <v>0</v>
      </c>
      <c r="BC122" s="85">
        <f t="shared" si="54"/>
        <v>0</v>
      </c>
      <c r="BD122" s="86">
        <f t="shared" si="52"/>
        <v>0</v>
      </c>
      <c r="BE122" s="86">
        <f t="shared" si="53"/>
        <v>0</v>
      </c>
      <c r="BF122" s="316">
        <v>108</v>
      </c>
      <c r="BG122" s="318"/>
      <c r="BH122" s="318"/>
      <c r="BI122" s="318" t="b">
        <v>0</v>
      </c>
      <c r="BJ122" s="317">
        <v>138</v>
      </c>
      <c r="BK122" s="318"/>
      <c r="BL122" s="318"/>
      <c r="BM122" s="318" t="b">
        <v>0</v>
      </c>
      <c r="BN122" s="319"/>
      <c r="BO122" s="319"/>
      <c r="BP122" s="319"/>
      <c r="BQ122" s="77"/>
      <c r="BR122" s="77"/>
      <c r="BS122" s="77"/>
      <c r="BT122" s="77"/>
      <c r="BU122" s="77"/>
      <c r="BV122" s="77"/>
      <c r="BW122" s="77"/>
      <c r="CF122" s="77"/>
      <c r="CI122" s="313"/>
      <c r="CJ122" s="313"/>
    </row>
    <row r="123" spans="1:88" ht="36" customHeight="1">
      <c r="A123" s="1902" t="s">
        <v>87</v>
      </c>
      <c r="B123" s="1902"/>
      <c r="C123" s="1903">
        <f>C4</f>
        <v>0</v>
      </c>
      <c r="D123" s="1903"/>
      <c r="E123" s="1903"/>
      <c r="F123" s="1903"/>
      <c r="G123" s="1903"/>
      <c r="H123" s="1903"/>
      <c r="I123" s="1903"/>
      <c r="J123" s="1903"/>
      <c r="K123" s="1903"/>
      <c r="L123" s="1903"/>
      <c r="M123" s="1903"/>
      <c r="N123" s="1903"/>
      <c r="O123" s="1903"/>
      <c r="P123" s="1903"/>
      <c r="Q123" s="1903"/>
      <c r="R123" s="1903"/>
      <c r="S123" s="1903"/>
      <c r="T123" s="1903"/>
      <c r="U123" s="522"/>
      <c r="V123" s="522"/>
      <c r="W123" s="522"/>
      <c r="X123" s="522"/>
      <c r="Y123" s="522"/>
      <c r="Z123" s="522"/>
      <c r="AA123" s="14"/>
      <c r="AB123" s="14"/>
      <c r="AC123" s="14"/>
      <c r="AD123" s="745"/>
      <c r="AE123" s="743"/>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83">
        <v>120</v>
      </c>
      <c r="BB123" s="84">
        <f t="shared" si="51"/>
        <v>0</v>
      </c>
      <c r="BC123" s="85">
        <f t="shared" si="54"/>
        <v>0</v>
      </c>
      <c r="BD123" s="86">
        <f t="shared" si="52"/>
        <v>0</v>
      </c>
      <c r="BE123" s="86">
        <f t="shared" si="53"/>
        <v>0</v>
      </c>
      <c r="BF123" s="316">
        <v>109</v>
      </c>
      <c r="BG123" s="318"/>
      <c r="BH123" s="318"/>
      <c r="BI123" s="318" t="b">
        <v>0</v>
      </c>
      <c r="BJ123" s="317">
        <v>139</v>
      </c>
      <c r="BK123" s="318"/>
      <c r="BL123" s="318"/>
      <c r="BM123" s="318" t="b">
        <v>0</v>
      </c>
      <c r="BN123" s="319"/>
      <c r="BO123" s="319"/>
      <c r="BP123" s="319"/>
    </row>
    <row r="124" spans="1:88" ht="15.95" customHeight="1">
      <c r="A124" s="1922" t="s">
        <v>86</v>
      </c>
      <c r="B124" s="1922"/>
      <c r="C124" s="1927">
        <f>C5</f>
        <v>0</v>
      </c>
      <c r="D124" s="1927"/>
      <c r="E124" s="1875" t="s">
        <v>18</v>
      </c>
      <c r="F124" s="1927">
        <f>F5</f>
        <v>0</v>
      </c>
      <c r="G124" s="1875" t="s">
        <v>17</v>
      </c>
      <c r="H124" s="1929">
        <f>H5</f>
        <v>0</v>
      </c>
      <c r="I124" s="1875" t="s">
        <v>16</v>
      </c>
      <c r="J124" s="1875" t="s">
        <v>484</v>
      </c>
      <c r="K124" s="1929">
        <f>K5</f>
        <v>0</v>
      </c>
      <c r="L124" s="1875" t="s">
        <v>485</v>
      </c>
      <c r="M124" s="1875" t="s">
        <v>465</v>
      </c>
      <c r="N124" s="1929">
        <f>N5</f>
        <v>0</v>
      </c>
      <c r="O124" s="1875" t="s">
        <v>17</v>
      </c>
      <c r="P124" s="1929">
        <f>P5</f>
        <v>0</v>
      </c>
      <c r="Q124" s="1875" t="s">
        <v>16</v>
      </c>
      <c r="R124" s="1875" t="s">
        <v>486</v>
      </c>
      <c r="S124" s="1929">
        <f>S5</f>
        <v>0</v>
      </c>
      <c r="T124" s="1875" t="s">
        <v>464</v>
      </c>
      <c r="U124" s="1875"/>
      <c r="V124" s="1875"/>
      <c r="W124" s="537">
        <f>W81</f>
        <v>0</v>
      </c>
      <c r="X124" s="511" t="s">
        <v>51</v>
      </c>
      <c r="Y124" s="537">
        <f>Y81</f>
        <v>0</v>
      </c>
      <c r="Z124" s="511" t="s">
        <v>16</v>
      </c>
      <c r="AA124" s="13"/>
      <c r="AB124" s="13"/>
      <c r="AC124" s="13"/>
      <c r="AD124" s="745"/>
      <c r="AE124" s="74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83">
        <v>121</v>
      </c>
      <c r="BB124" s="84">
        <f t="shared" si="51"/>
        <v>0</v>
      </c>
      <c r="BC124" s="85">
        <f t="shared" si="54"/>
        <v>0</v>
      </c>
      <c r="BD124" s="86">
        <f t="shared" si="52"/>
        <v>0</v>
      </c>
      <c r="BE124" s="86">
        <f t="shared" si="53"/>
        <v>0</v>
      </c>
      <c r="BF124" s="316">
        <v>110</v>
      </c>
      <c r="BG124" s="318"/>
      <c r="BH124" s="318"/>
      <c r="BI124" s="318" t="b">
        <v>0</v>
      </c>
      <c r="BJ124" s="317">
        <v>140</v>
      </c>
      <c r="BK124" s="318"/>
      <c r="BL124" s="318"/>
      <c r="BM124" s="318" t="b">
        <v>0</v>
      </c>
      <c r="BN124" s="319"/>
      <c r="BO124" s="319"/>
      <c r="BP124" s="319"/>
    </row>
    <row r="125" spans="1:88" ht="15.95" customHeight="1">
      <c r="A125" s="1902"/>
      <c r="B125" s="1902"/>
      <c r="C125" s="1928"/>
      <c r="D125" s="1928"/>
      <c r="E125" s="1420"/>
      <c r="F125" s="1928"/>
      <c r="G125" s="1420"/>
      <c r="H125" s="1928"/>
      <c r="I125" s="1420"/>
      <c r="J125" s="1420"/>
      <c r="K125" s="1928"/>
      <c r="L125" s="1420"/>
      <c r="M125" s="1420"/>
      <c r="N125" s="1928"/>
      <c r="O125" s="1420"/>
      <c r="P125" s="1928"/>
      <c r="Q125" s="1420"/>
      <c r="R125" s="1420"/>
      <c r="S125" s="1928"/>
      <c r="T125" s="1420"/>
      <c r="U125" s="1875"/>
      <c r="V125" s="1875"/>
      <c r="W125" s="1875" t="s">
        <v>52</v>
      </c>
      <c r="X125" s="1875"/>
      <c r="Y125" s="539" t="str">
        <f>Y82</f>
        <v/>
      </c>
      <c r="Z125" s="511" t="s">
        <v>16</v>
      </c>
      <c r="AA125" s="13"/>
      <c r="AB125" s="13"/>
      <c r="AC125" s="13"/>
      <c r="AD125" s="745"/>
      <c r="AE125" s="74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83">
        <v>122</v>
      </c>
      <c r="BB125" s="84">
        <f t="shared" si="51"/>
        <v>0</v>
      </c>
      <c r="BC125" s="85">
        <f t="shared" si="54"/>
        <v>0</v>
      </c>
      <c r="BD125" s="86">
        <f t="shared" si="52"/>
        <v>0</v>
      </c>
      <c r="BE125" s="86">
        <f t="shared" si="53"/>
        <v>0</v>
      </c>
      <c r="BF125" s="320"/>
      <c r="BG125" s="319"/>
      <c r="BH125" s="319"/>
      <c r="BI125" s="319"/>
      <c r="BJ125" s="319"/>
      <c r="BK125" s="319"/>
      <c r="BL125" s="319"/>
      <c r="BM125" s="319"/>
    </row>
    <row r="126" spans="1:88" ht="24.95" customHeight="1">
      <c r="A126" s="540"/>
      <c r="B126" s="540"/>
      <c r="C126" s="540"/>
      <c r="D126" s="540"/>
      <c r="E126" s="540"/>
      <c r="F126" s="540"/>
      <c r="G126" s="540"/>
      <c r="H126" s="540"/>
      <c r="I126" s="540"/>
      <c r="J126" s="540"/>
      <c r="K126" s="540"/>
      <c r="L126" s="540"/>
      <c r="M126" s="540"/>
      <c r="N126" s="540"/>
      <c r="O126" s="540"/>
      <c r="P126" s="540"/>
      <c r="Q126" s="540"/>
      <c r="R126" s="540"/>
      <c r="S126" s="540"/>
      <c r="T126" s="540"/>
      <c r="U126" s="541"/>
      <c r="V126" s="541"/>
      <c r="W126" s="541"/>
      <c r="X126" s="541"/>
      <c r="Y126" s="541"/>
      <c r="Z126" s="541"/>
      <c r="AA126" s="13"/>
      <c r="AB126" s="13"/>
      <c r="AC126" s="13"/>
      <c r="AD126" s="745"/>
      <c r="AE126" s="74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83">
        <v>123</v>
      </c>
      <c r="BB126" s="84">
        <f t="shared" si="51"/>
        <v>0</v>
      </c>
      <c r="BC126" s="85">
        <f t="shared" si="54"/>
        <v>0</v>
      </c>
      <c r="BD126" s="86">
        <f t="shared" si="52"/>
        <v>0</v>
      </c>
      <c r="BE126" s="86">
        <f t="shared" si="53"/>
        <v>0</v>
      </c>
      <c r="BF126" s="320"/>
      <c r="BG126" s="319"/>
      <c r="BH126" s="319"/>
      <c r="BI126" s="319"/>
      <c r="BJ126" s="319"/>
      <c r="BK126" s="319"/>
      <c r="BL126" s="319"/>
      <c r="BM126" s="319"/>
    </row>
    <row r="127" spans="1:88" ht="13.5" customHeight="1">
      <c r="A127" s="1855" t="s">
        <v>480</v>
      </c>
      <c r="B127" s="1883" t="s">
        <v>166</v>
      </c>
      <c r="C127" s="1884"/>
      <c r="D127" s="1884"/>
      <c r="E127" s="1884"/>
      <c r="F127" s="1884"/>
      <c r="G127" s="1898"/>
      <c r="H127" s="1911" t="s">
        <v>167</v>
      </c>
      <c r="I127" s="1898"/>
      <c r="J127" s="1883" t="s">
        <v>168</v>
      </c>
      <c r="K127" s="1884"/>
      <c r="L127" s="1884"/>
      <c r="M127" s="1885"/>
      <c r="N127" s="1930" t="s">
        <v>480</v>
      </c>
      <c r="O127" s="1883" t="s">
        <v>166</v>
      </c>
      <c r="P127" s="1884"/>
      <c r="Q127" s="1884"/>
      <c r="R127" s="1884"/>
      <c r="S127" s="1884"/>
      <c r="T127" s="1898"/>
      <c r="U127" s="1911" t="s">
        <v>167</v>
      </c>
      <c r="V127" s="1898"/>
      <c r="W127" s="1883" t="s">
        <v>168</v>
      </c>
      <c r="X127" s="1884"/>
      <c r="Y127" s="1884"/>
      <c r="Z127" s="1898"/>
      <c r="AA127" s="13"/>
      <c r="AB127" s="13"/>
      <c r="AC127" s="13"/>
      <c r="AD127" s="745"/>
      <c r="AE127" s="74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83">
        <v>124</v>
      </c>
      <c r="BB127" s="84">
        <f t="shared" si="51"/>
        <v>0</v>
      </c>
      <c r="BC127" s="85">
        <f t="shared" si="54"/>
        <v>0</v>
      </c>
      <c r="BD127" s="86">
        <f t="shared" si="52"/>
        <v>0</v>
      </c>
      <c r="BE127" s="86">
        <f t="shared" si="53"/>
        <v>0</v>
      </c>
      <c r="BF127" s="320"/>
      <c r="BG127" s="319"/>
      <c r="BH127" s="319"/>
      <c r="BI127" s="319"/>
      <c r="BJ127" s="319"/>
      <c r="BK127" s="319"/>
      <c r="BL127" s="319"/>
      <c r="BM127" s="319"/>
    </row>
    <row r="128" spans="1:88">
      <c r="A128" s="1855"/>
      <c r="B128" s="1913"/>
      <c r="C128" s="1914"/>
      <c r="D128" s="1914"/>
      <c r="E128" s="1914"/>
      <c r="F128" s="1914"/>
      <c r="G128" s="1915"/>
      <c r="H128" s="1886"/>
      <c r="I128" s="1899"/>
      <c r="J128" s="1886"/>
      <c r="K128" s="1887"/>
      <c r="L128" s="1887"/>
      <c r="M128" s="1888"/>
      <c r="N128" s="1931"/>
      <c r="O128" s="1913"/>
      <c r="P128" s="1914"/>
      <c r="Q128" s="1914"/>
      <c r="R128" s="1914"/>
      <c r="S128" s="1914"/>
      <c r="T128" s="1915"/>
      <c r="U128" s="1886"/>
      <c r="V128" s="1899"/>
      <c r="W128" s="1886"/>
      <c r="X128" s="1887"/>
      <c r="Y128" s="1887"/>
      <c r="Z128" s="1899"/>
      <c r="AA128" s="13"/>
      <c r="AB128" s="13"/>
      <c r="AC128" s="13"/>
      <c r="AD128" s="745"/>
      <c r="AE128" s="74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83">
        <v>125</v>
      </c>
      <c r="BB128" s="84">
        <f t="shared" si="51"/>
        <v>0</v>
      </c>
      <c r="BC128" s="85">
        <f t="shared" si="54"/>
        <v>0</v>
      </c>
      <c r="BD128" s="86">
        <f t="shared" si="52"/>
        <v>0</v>
      </c>
      <c r="BE128" s="86">
        <f t="shared" si="53"/>
        <v>0</v>
      </c>
      <c r="BF128" s="320"/>
      <c r="BG128" s="319"/>
      <c r="BH128" s="319"/>
      <c r="BI128" s="319"/>
      <c r="BJ128" s="319"/>
      <c r="BK128" s="319"/>
      <c r="BL128" s="319"/>
      <c r="BM128" s="319"/>
    </row>
    <row r="129" spans="1:65" ht="26.1" customHeight="1">
      <c r="A129" s="1855"/>
      <c r="B129" s="1913"/>
      <c r="C129" s="1914"/>
      <c r="D129" s="1914"/>
      <c r="E129" s="1914"/>
      <c r="F129" s="1914"/>
      <c r="G129" s="1915"/>
      <c r="H129" s="1924" t="s">
        <v>53</v>
      </c>
      <c r="I129" s="1912" t="s">
        <v>52</v>
      </c>
      <c r="J129" s="1904" t="s">
        <v>543</v>
      </c>
      <c r="K129" s="1889" t="s">
        <v>542</v>
      </c>
      <c r="L129" s="1890"/>
      <c r="M129" s="1891"/>
      <c r="N129" s="1931"/>
      <c r="O129" s="1913"/>
      <c r="P129" s="1914"/>
      <c r="Q129" s="1914"/>
      <c r="R129" s="1914"/>
      <c r="S129" s="1914"/>
      <c r="T129" s="1915"/>
      <c r="U129" s="1924" t="s">
        <v>53</v>
      </c>
      <c r="V129" s="1912" t="s">
        <v>52</v>
      </c>
      <c r="W129" s="1904" t="s">
        <v>543</v>
      </c>
      <c r="X129" s="1889" t="s">
        <v>542</v>
      </c>
      <c r="Y129" s="1890"/>
      <c r="Z129" s="1900"/>
      <c r="AA129" s="6"/>
      <c r="AB129" s="6"/>
      <c r="AC129" s="6"/>
      <c r="AD129" s="744"/>
      <c r="AE129" s="744"/>
      <c r="AF129" s="6"/>
      <c r="AG129" s="6"/>
      <c r="AH129" s="6"/>
      <c r="AI129" s="6"/>
      <c r="AJ129" s="6"/>
      <c r="AK129" s="6"/>
      <c r="AL129" s="6"/>
      <c r="AM129" s="6"/>
      <c r="AN129" s="6"/>
      <c r="AO129" s="6"/>
      <c r="AP129" s="6"/>
      <c r="AQ129" s="6"/>
      <c r="AR129" s="6"/>
      <c r="AS129" s="6"/>
      <c r="AT129" s="6"/>
      <c r="AU129" s="6"/>
      <c r="AV129" s="6"/>
      <c r="AW129" s="6"/>
      <c r="AX129" s="6"/>
      <c r="AY129" s="6"/>
      <c r="AZ129" s="6"/>
      <c r="BA129" s="83">
        <v>126</v>
      </c>
      <c r="BB129" s="84">
        <f t="shared" si="51"/>
        <v>0</v>
      </c>
      <c r="BC129" s="85">
        <f t="shared" si="54"/>
        <v>0</v>
      </c>
      <c r="BD129" s="86">
        <f t="shared" si="52"/>
        <v>0</v>
      </c>
      <c r="BE129" s="86">
        <f t="shared" si="53"/>
        <v>0</v>
      </c>
      <c r="BF129" s="320"/>
      <c r="BG129" s="319"/>
      <c r="BH129" s="319"/>
      <c r="BI129" s="319"/>
      <c r="BJ129" s="319"/>
      <c r="BK129" s="319"/>
      <c r="BL129" s="319"/>
      <c r="BM129" s="319"/>
    </row>
    <row r="130" spans="1:65" ht="26.1" customHeight="1">
      <c r="A130" s="1855"/>
      <c r="B130" s="1913"/>
      <c r="C130" s="1914"/>
      <c r="D130" s="1914"/>
      <c r="E130" s="1914"/>
      <c r="F130" s="1914"/>
      <c r="G130" s="1915"/>
      <c r="H130" s="1924"/>
      <c r="I130" s="1912"/>
      <c r="J130" s="1905"/>
      <c r="K130" s="1889"/>
      <c r="L130" s="1890"/>
      <c r="M130" s="1891"/>
      <c r="N130" s="1931"/>
      <c r="O130" s="1913"/>
      <c r="P130" s="1914"/>
      <c r="Q130" s="1914"/>
      <c r="R130" s="1914"/>
      <c r="S130" s="1914"/>
      <c r="T130" s="1915"/>
      <c r="U130" s="1924"/>
      <c r="V130" s="1912"/>
      <c r="W130" s="1905"/>
      <c r="X130" s="1889"/>
      <c r="Y130" s="1890"/>
      <c r="Z130" s="1900"/>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83">
        <v>127</v>
      </c>
      <c r="BB130" s="84">
        <f t="shared" si="51"/>
        <v>0</v>
      </c>
      <c r="BC130" s="85">
        <f t="shared" si="54"/>
        <v>0</v>
      </c>
      <c r="BD130" s="86">
        <f t="shared" si="52"/>
        <v>0</v>
      </c>
      <c r="BE130" s="86">
        <f t="shared" si="53"/>
        <v>0</v>
      </c>
      <c r="BF130" s="320"/>
      <c r="BG130" s="319"/>
      <c r="BH130" s="319"/>
      <c r="BI130" s="319"/>
      <c r="BJ130" s="319"/>
      <c r="BK130" s="319"/>
      <c r="BL130" s="319"/>
      <c r="BM130" s="319"/>
    </row>
    <row r="131" spans="1:65" ht="26.1" customHeight="1">
      <c r="A131" s="1855"/>
      <c r="B131" s="1886"/>
      <c r="C131" s="1887"/>
      <c r="D131" s="1887"/>
      <c r="E131" s="1887"/>
      <c r="F131" s="1887"/>
      <c r="G131" s="1899"/>
      <c r="H131" s="1924"/>
      <c r="I131" s="1912"/>
      <c r="J131" s="1905"/>
      <c r="K131" s="1892"/>
      <c r="L131" s="1893"/>
      <c r="M131" s="1894"/>
      <c r="N131" s="1932"/>
      <c r="O131" s="1886"/>
      <c r="P131" s="1887"/>
      <c r="Q131" s="1887"/>
      <c r="R131" s="1887"/>
      <c r="S131" s="1887"/>
      <c r="T131" s="1899"/>
      <c r="U131" s="1924"/>
      <c r="V131" s="1912"/>
      <c r="W131" s="1905"/>
      <c r="X131" s="1892"/>
      <c r="Y131" s="1893"/>
      <c r="Z131" s="1901"/>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83">
        <v>128</v>
      </c>
      <c r="BB131" s="84">
        <f t="shared" si="51"/>
        <v>0</v>
      </c>
      <c r="BC131" s="85">
        <f t="shared" si="54"/>
        <v>0</v>
      </c>
      <c r="BD131" s="86">
        <f t="shared" si="52"/>
        <v>0</v>
      </c>
      <c r="BE131" s="86">
        <f t="shared" si="53"/>
        <v>0</v>
      </c>
      <c r="BF131" s="316" t="s">
        <v>1370</v>
      </c>
      <c r="BG131" s="317" t="s">
        <v>1371</v>
      </c>
      <c r="BH131" s="317" t="s">
        <v>1372</v>
      </c>
      <c r="BI131" s="317" t="s">
        <v>1369</v>
      </c>
      <c r="BJ131" s="316" t="s">
        <v>1370</v>
      </c>
      <c r="BK131" s="317" t="s">
        <v>1371</v>
      </c>
      <c r="BL131" s="317" t="s">
        <v>1372</v>
      </c>
      <c r="BM131" s="317" t="s">
        <v>1369</v>
      </c>
    </row>
    <row r="132" spans="1:65" ht="24.95" customHeight="1">
      <c r="A132" s="895">
        <v>141</v>
      </c>
      <c r="B132" s="1907"/>
      <c r="C132" s="1908"/>
      <c r="D132" s="1908"/>
      <c r="E132" s="1908"/>
      <c r="F132" s="1908"/>
      <c r="G132" s="1909"/>
      <c r="H132" s="543"/>
      <c r="I132" s="544"/>
      <c r="J132" s="545"/>
      <c r="K132" s="928"/>
      <c r="L132" s="928"/>
      <c r="M132" s="921"/>
      <c r="N132" s="1086">
        <v>171</v>
      </c>
      <c r="O132" s="1907"/>
      <c r="P132" s="1908"/>
      <c r="Q132" s="1908"/>
      <c r="R132" s="1908"/>
      <c r="S132" s="1908"/>
      <c r="T132" s="1909"/>
      <c r="U132" s="543"/>
      <c r="V132" s="544"/>
      <c r="W132" s="545"/>
      <c r="X132" s="928"/>
      <c r="Y132" s="928"/>
      <c r="Z132" s="545"/>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83">
        <v>129</v>
      </c>
      <c r="BB132" s="84">
        <f t="shared" si="51"/>
        <v>0</v>
      </c>
      <c r="BC132" s="85">
        <f t="shared" si="54"/>
        <v>0</v>
      </c>
      <c r="BD132" s="86">
        <f t="shared" si="52"/>
        <v>0</v>
      </c>
      <c r="BE132" s="86">
        <f t="shared" si="53"/>
        <v>0</v>
      </c>
      <c r="BF132" s="316">
        <v>141</v>
      </c>
      <c r="BG132" s="318">
        <f>H132</f>
        <v>0</v>
      </c>
      <c r="BH132" s="318">
        <f>I132</f>
        <v>0</v>
      </c>
      <c r="BI132" s="318" t="b">
        <v>0</v>
      </c>
      <c r="BJ132" s="317">
        <v>171</v>
      </c>
      <c r="BK132" s="318"/>
      <c r="BL132" s="318"/>
      <c r="BM132" s="318" t="b">
        <v>0</v>
      </c>
    </row>
    <row r="133" spans="1:65" ht="24.95" customHeight="1">
      <c r="A133" s="895">
        <v>142</v>
      </c>
      <c r="B133" s="1907"/>
      <c r="C133" s="1908"/>
      <c r="D133" s="1908"/>
      <c r="E133" s="1908"/>
      <c r="F133" s="1908"/>
      <c r="G133" s="1909"/>
      <c r="H133" s="543"/>
      <c r="I133" s="544"/>
      <c r="J133" s="545"/>
      <c r="K133" s="928"/>
      <c r="L133" s="928"/>
      <c r="M133" s="921"/>
      <c r="N133" s="894">
        <v>172</v>
      </c>
      <c r="O133" s="1907"/>
      <c r="P133" s="1908"/>
      <c r="Q133" s="1908"/>
      <c r="R133" s="1908"/>
      <c r="S133" s="1908"/>
      <c r="T133" s="1909"/>
      <c r="U133" s="543"/>
      <c r="V133" s="544"/>
      <c r="W133" s="545"/>
      <c r="X133" s="928"/>
      <c r="Y133" s="928"/>
      <c r="Z133" s="545"/>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83">
        <v>130</v>
      </c>
      <c r="BB133" s="84">
        <f t="shared" si="51"/>
        <v>0</v>
      </c>
      <c r="BC133" s="85">
        <f t="shared" si="54"/>
        <v>0</v>
      </c>
      <c r="BD133" s="86">
        <f t="shared" si="52"/>
        <v>0</v>
      </c>
      <c r="BE133" s="86">
        <f t="shared" si="53"/>
        <v>0</v>
      </c>
      <c r="BF133" s="316">
        <v>142</v>
      </c>
      <c r="BG133" s="318">
        <f t="shared" ref="BG133:BG161" si="55">H133</f>
        <v>0</v>
      </c>
      <c r="BH133" s="318">
        <f t="shared" ref="BH133:BH161" si="56">I133</f>
        <v>0</v>
      </c>
      <c r="BI133" s="318" t="b">
        <v>0</v>
      </c>
      <c r="BJ133" s="317">
        <v>172</v>
      </c>
      <c r="BK133" s="318"/>
      <c r="BL133" s="318"/>
      <c r="BM133" s="318" t="b">
        <v>0</v>
      </c>
    </row>
    <row r="134" spans="1:65" ht="24.95" customHeight="1">
      <c r="A134" s="895">
        <v>143</v>
      </c>
      <c r="B134" s="1907"/>
      <c r="C134" s="1908"/>
      <c r="D134" s="1908"/>
      <c r="E134" s="1908"/>
      <c r="F134" s="1908"/>
      <c r="G134" s="1909"/>
      <c r="H134" s="543"/>
      <c r="I134" s="544"/>
      <c r="J134" s="545"/>
      <c r="K134" s="928"/>
      <c r="L134" s="928"/>
      <c r="M134" s="921"/>
      <c r="N134" s="894">
        <v>173</v>
      </c>
      <c r="O134" s="1907"/>
      <c r="P134" s="1908"/>
      <c r="Q134" s="1908"/>
      <c r="R134" s="1908"/>
      <c r="S134" s="1908"/>
      <c r="T134" s="1909"/>
      <c r="U134" s="543"/>
      <c r="V134" s="544"/>
      <c r="W134" s="545"/>
      <c r="X134" s="928"/>
      <c r="Y134" s="928"/>
      <c r="Z134" s="545"/>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83">
        <v>131</v>
      </c>
      <c r="BB134" s="84">
        <f t="shared" si="51"/>
        <v>0</v>
      </c>
      <c r="BC134" s="85">
        <f t="shared" si="54"/>
        <v>0</v>
      </c>
      <c r="BD134" s="86">
        <f t="shared" si="52"/>
        <v>0</v>
      </c>
      <c r="BE134" s="86">
        <f t="shared" si="53"/>
        <v>0</v>
      </c>
      <c r="BF134" s="316">
        <v>143</v>
      </c>
      <c r="BG134" s="318">
        <f t="shared" si="55"/>
        <v>0</v>
      </c>
      <c r="BH134" s="318">
        <f t="shared" si="56"/>
        <v>0</v>
      </c>
      <c r="BI134" s="318" t="b">
        <v>0</v>
      </c>
      <c r="BJ134" s="317">
        <v>173</v>
      </c>
      <c r="BK134" s="318"/>
      <c r="BL134" s="318"/>
      <c r="BM134" s="318" t="b">
        <v>0</v>
      </c>
    </row>
    <row r="135" spans="1:65" ht="24.95" customHeight="1">
      <c r="A135" s="895">
        <v>144</v>
      </c>
      <c r="B135" s="1907"/>
      <c r="C135" s="1908"/>
      <c r="D135" s="1908"/>
      <c r="E135" s="1908"/>
      <c r="F135" s="1908"/>
      <c r="G135" s="1909"/>
      <c r="H135" s="543"/>
      <c r="I135" s="544"/>
      <c r="J135" s="545"/>
      <c r="K135" s="928"/>
      <c r="L135" s="928"/>
      <c r="M135" s="921"/>
      <c r="N135" s="894">
        <v>174</v>
      </c>
      <c r="O135" s="1907"/>
      <c r="P135" s="1908"/>
      <c r="Q135" s="1908"/>
      <c r="R135" s="1908"/>
      <c r="S135" s="1908"/>
      <c r="T135" s="1909"/>
      <c r="U135" s="543"/>
      <c r="V135" s="544"/>
      <c r="W135" s="545"/>
      <c r="X135" s="928"/>
      <c r="Y135" s="928"/>
      <c r="Z135" s="545"/>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83">
        <v>132</v>
      </c>
      <c r="BB135" s="84">
        <f t="shared" si="51"/>
        <v>0</v>
      </c>
      <c r="BC135" s="85">
        <f t="shared" si="54"/>
        <v>0</v>
      </c>
      <c r="BD135" s="86">
        <f t="shared" si="52"/>
        <v>0</v>
      </c>
      <c r="BE135" s="86">
        <f t="shared" si="53"/>
        <v>0</v>
      </c>
      <c r="BF135" s="316">
        <v>144</v>
      </c>
      <c r="BG135" s="318">
        <f t="shared" si="55"/>
        <v>0</v>
      </c>
      <c r="BH135" s="318">
        <f t="shared" si="56"/>
        <v>0</v>
      </c>
      <c r="BI135" s="318" t="b">
        <v>0</v>
      </c>
      <c r="BJ135" s="317">
        <v>174</v>
      </c>
      <c r="BK135" s="318"/>
      <c r="BL135" s="318"/>
      <c r="BM135" s="318" t="b">
        <v>0</v>
      </c>
    </row>
    <row r="136" spans="1:65" ht="24.95" customHeight="1">
      <c r="A136" s="895">
        <v>145</v>
      </c>
      <c r="B136" s="1907"/>
      <c r="C136" s="1908"/>
      <c r="D136" s="1908"/>
      <c r="E136" s="1908"/>
      <c r="F136" s="1908"/>
      <c r="G136" s="1909"/>
      <c r="H136" s="543"/>
      <c r="I136" s="544"/>
      <c r="J136" s="545"/>
      <c r="K136" s="928"/>
      <c r="L136" s="928"/>
      <c r="M136" s="921"/>
      <c r="N136" s="894">
        <v>175</v>
      </c>
      <c r="O136" s="1907"/>
      <c r="P136" s="1908"/>
      <c r="Q136" s="1908"/>
      <c r="R136" s="1908"/>
      <c r="S136" s="1908"/>
      <c r="T136" s="1909"/>
      <c r="U136" s="543"/>
      <c r="V136" s="544"/>
      <c r="W136" s="545"/>
      <c r="X136" s="928"/>
      <c r="Y136" s="928"/>
      <c r="Z136" s="545"/>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83">
        <v>133</v>
      </c>
      <c r="BB136" s="84">
        <f t="shared" si="51"/>
        <v>0</v>
      </c>
      <c r="BC136" s="85">
        <f t="shared" si="54"/>
        <v>0</v>
      </c>
      <c r="BD136" s="86">
        <f t="shared" si="52"/>
        <v>0</v>
      </c>
      <c r="BE136" s="86">
        <f t="shared" si="53"/>
        <v>0</v>
      </c>
      <c r="BF136" s="316">
        <v>145</v>
      </c>
      <c r="BG136" s="318">
        <f t="shared" si="55"/>
        <v>0</v>
      </c>
      <c r="BH136" s="318">
        <f t="shared" si="56"/>
        <v>0</v>
      </c>
      <c r="BI136" s="318" t="b">
        <v>0</v>
      </c>
      <c r="BJ136" s="317">
        <v>175</v>
      </c>
      <c r="BK136" s="318"/>
      <c r="BL136" s="318"/>
      <c r="BM136" s="318" t="b">
        <v>0</v>
      </c>
    </row>
    <row r="137" spans="1:65" ht="24.95" customHeight="1">
      <c r="A137" s="895">
        <v>146</v>
      </c>
      <c r="B137" s="1907"/>
      <c r="C137" s="1908"/>
      <c r="D137" s="1908"/>
      <c r="E137" s="1908"/>
      <c r="F137" s="1908"/>
      <c r="G137" s="1909"/>
      <c r="H137" s="543"/>
      <c r="I137" s="544"/>
      <c r="J137" s="545"/>
      <c r="K137" s="928"/>
      <c r="L137" s="928"/>
      <c r="M137" s="921"/>
      <c r="N137" s="894">
        <v>176</v>
      </c>
      <c r="O137" s="1907"/>
      <c r="P137" s="1908"/>
      <c r="Q137" s="1908"/>
      <c r="R137" s="1908"/>
      <c r="S137" s="1908"/>
      <c r="T137" s="1909"/>
      <c r="U137" s="543"/>
      <c r="V137" s="544"/>
      <c r="W137" s="545"/>
      <c r="X137" s="928"/>
      <c r="Y137" s="928"/>
      <c r="Z137" s="545"/>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83">
        <v>134</v>
      </c>
      <c r="BB137" s="84">
        <f t="shared" si="51"/>
        <v>0</v>
      </c>
      <c r="BC137" s="85">
        <f t="shared" si="54"/>
        <v>0</v>
      </c>
      <c r="BD137" s="86">
        <f t="shared" si="52"/>
        <v>0</v>
      </c>
      <c r="BE137" s="86">
        <f t="shared" si="53"/>
        <v>0</v>
      </c>
      <c r="BF137" s="316">
        <v>146</v>
      </c>
      <c r="BG137" s="318">
        <f t="shared" si="55"/>
        <v>0</v>
      </c>
      <c r="BH137" s="318">
        <f t="shared" si="56"/>
        <v>0</v>
      </c>
      <c r="BI137" s="318" t="b">
        <v>0</v>
      </c>
      <c r="BJ137" s="317">
        <v>176</v>
      </c>
      <c r="BK137" s="318"/>
      <c r="BL137" s="318"/>
      <c r="BM137" s="318" t="b">
        <v>0</v>
      </c>
    </row>
    <row r="138" spans="1:65" ht="24.95" customHeight="1">
      <c r="A138" s="895">
        <v>147</v>
      </c>
      <c r="B138" s="1907"/>
      <c r="C138" s="1908"/>
      <c r="D138" s="1908"/>
      <c r="E138" s="1908"/>
      <c r="F138" s="1908"/>
      <c r="G138" s="1909"/>
      <c r="H138" s="543"/>
      <c r="I138" s="544"/>
      <c r="J138" s="545"/>
      <c r="K138" s="928"/>
      <c r="L138" s="928"/>
      <c r="M138" s="921"/>
      <c r="N138" s="894">
        <v>177</v>
      </c>
      <c r="O138" s="1907"/>
      <c r="P138" s="1908"/>
      <c r="Q138" s="1908"/>
      <c r="R138" s="1908"/>
      <c r="S138" s="1908"/>
      <c r="T138" s="1909"/>
      <c r="U138" s="543"/>
      <c r="V138" s="544"/>
      <c r="W138" s="545"/>
      <c r="X138" s="928"/>
      <c r="Y138" s="928"/>
      <c r="Z138" s="545"/>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83">
        <v>135</v>
      </c>
      <c r="BB138" s="84">
        <f t="shared" si="51"/>
        <v>0</v>
      </c>
      <c r="BC138" s="85">
        <f t="shared" si="54"/>
        <v>0</v>
      </c>
      <c r="BD138" s="86">
        <f t="shared" si="52"/>
        <v>0</v>
      </c>
      <c r="BE138" s="86">
        <f t="shared" si="53"/>
        <v>0</v>
      </c>
      <c r="BF138" s="316">
        <v>147</v>
      </c>
      <c r="BG138" s="318">
        <f t="shared" si="55"/>
        <v>0</v>
      </c>
      <c r="BH138" s="318">
        <f t="shared" si="56"/>
        <v>0</v>
      </c>
      <c r="BI138" s="318" t="b">
        <v>0</v>
      </c>
      <c r="BJ138" s="317">
        <v>177</v>
      </c>
      <c r="BK138" s="318"/>
      <c r="BL138" s="318"/>
      <c r="BM138" s="318" t="b">
        <v>0</v>
      </c>
    </row>
    <row r="139" spans="1:65" ht="24.95" customHeight="1">
      <c r="A139" s="895">
        <v>148</v>
      </c>
      <c r="B139" s="1907"/>
      <c r="C139" s="1908"/>
      <c r="D139" s="1908"/>
      <c r="E139" s="1908"/>
      <c r="F139" s="1908"/>
      <c r="G139" s="1909"/>
      <c r="H139" s="543"/>
      <c r="I139" s="544"/>
      <c r="J139" s="545"/>
      <c r="K139" s="928"/>
      <c r="L139" s="928"/>
      <c r="M139" s="921"/>
      <c r="N139" s="894">
        <v>178</v>
      </c>
      <c r="O139" s="1907"/>
      <c r="P139" s="1908"/>
      <c r="Q139" s="1908"/>
      <c r="R139" s="1908"/>
      <c r="S139" s="1908"/>
      <c r="T139" s="1909"/>
      <c r="U139" s="543"/>
      <c r="V139" s="544"/>
      <c r="W139" s="545"/>
      <c r="X139" s="928"/>
      <c r="Y139" s="928"/>
      <c r="Z139" s="545"/>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83">
        <v>136</v>
      </c>
      <c r="BB139" s="84">
        <f t="shared" si="51"/>
        <v>0</v>
      </c>
      <c r="BC139" s="85">
        <f t="shared" si="54"/>
        <v>0</v>
      </c>
      <c r="BD139" s="86">
        <f t="shared" si="52"/>
        <v>0</v>
      </c>
      <c r="BE139" s="86">
        <f t="shared" si="53"/>
        <v>0</v>
      </c>
      <c r="BF139" s="316">
        <v>148</v>
      </c>
      <c r="BG139" s="318">
        <f t="shared" si="55"/>
        <v>0</v>
      </c>
      <c r="BH139" s="318">
        <f t="shared" si="56"/>
        <v>0</v>
      </c>
      <c r="BI139" s="318" t="b">
        <v>0</v>
      </c>
      <c r="BJ139" s="317">
        <v>178</v>
      </c>
      <c r="BK139" s="318"/>
      <c r="BL139" s="318"/>
      <c r="BM139" s="318" t="b">
        <v>0</v>
      </c>
    </row>
    <row r="140" spans="1:65" ht="24.95" customHeight="1">
      <c r="A140" s="895">
        <v>149</v>
      </c>
      <c r="B140" s="1907"/>
      <c r="C140" s="1908"/>
      <c r="D140" s="1908"/>
      <c r="E140" s="1908"/>
      <c r="F140" s="1908"/>
      <c r="G140" s="1909"/>
      <c r="H140" s="543"/>
      <c r="I140" s="544"/>
      <c r="J140" s="545"/>
      <c r="K140" s="928"/>
      <c r="L140" s="928"/>
      <c r="M140" s="921"/>
      <c r="N140" s="894">
        <v>179</v>
      </c>
      <c r="O140" s="1907"/>
      <c r="P140" s="1908"/>
      <c r="Q140" s="1908"/>
      <c r="R140" s="1908"/>
      <c r="S140" s="1908"/>
      <c r="T140" s="1909"/>
      <c r="U140" s="543"/>
      <c r="V140" s="544"/>
      <c r="W140" s="545"/>
      <c r="X140" s="928"/>
      <c r="Y140" s="928"/>
      <c r="Z140" s="545"/>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83">
        <v>137</v>
      </c>
      <c r="BB140" s="84">
        <f t="shared" si="51"/>
        <v>0</v>
      </c>
      <c r="BC140" s="85">
        <f t="shared" si="54"/>
        <v>0</v>
      </c>
      <c r="BD140" s="86">
        <f t="shared" si="52"/>
        <v>0</v>
      </c>
      <c r="BE140" s="86">
        <f t="shared" si="53"/>
        <v>0</v>
      </c>
      <c r="BF140" s="316">
        <v>149</v>
      </c>
      <c r="BG140" s="318">
        <f t="shared" si="55"/>
        <v>0</v>
      </c>
      <c r="BH140" s="318">
        <f t="shared" si="56"/>
        <v>0</v>
      </c>
      <c r="BI140" s="318" t="b">
        <v>0</v>
      </c>
      <c r="BJ140" s="317">
        <v>179</v>
      </c>
      <c r="BK140" s="318"/>
      <c r="BL140" s="318"/>
      <c r="BM140" s="318" t="b">
        <v>0</v>
      </c>
    </row>
    <row r="141" spans="1:65" ht="24.95" customHeight="1">
      <c r="A141" s="895">
        <v>150</v>
      </c>
      <c r="B141" s="1907"/>
      <c r="C141" s="1908"/>
      <c r="D141" s="1908"/>
      <c r="E141" s="1908"/>
      <c r="F141" s="1908"/>
      <c r="G141" s="1909"/>
      <c r="H141" s="543"/>
      <c r="I141" s="544"/>
      <c r="J141" s="545"/>
      <c r="K141" s="928"/>
      <c r="L141" s="928"/>
      <c r="M141" s="921"/>
      <c r="N141" s="894">
        <v>180</v>
      </c>
      <c r="O141" s="1907"/>
      <c r="P141" s="1908"/>
      <c r="Q141" s="1908"/>
      <c r="R141" s="1908"/>
      <c r="S141" s="1908"/>
      <c r="T141" s="1909"/>
      <c r="U141" s="543"/>
      <c r="V141" s="544"/>
      <c r="W141" s="545"/>
      <c r="X141" s="928"/>
      <c r="Y141" s="928"/>
      <c r="Z141" s="545"/>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83">
        <v>138</v>
      </c>
      <c r="BB141" s="84">
        <f t="shared" si="51"/>
        <v>0</v>
      </c>
      <c r="BC141" s="85">
        <f t="shared" si="54"/>
        <v>0</v>
      </c>
      <c r="BD141" s="86">
        <f t="shared" si="52"/>
        <v>0</v>
      </c>
      <c r="BE141" s="86">
        <f t="shared" si="53"/>
        <v>0</v>
      </c>
      <c r="BF141" s="316">
        <v>150</v>
      </c>
      <c r="BG141" s="318">
        <f t="shared" si="55"/>
        <v>0</v>
      </c>
      <c r="BH141" s="318">
        <f t="shared" si="56"/>
        <v>0</v>
      </c>
      <c r="BI141" s="318" t="b">
        <v>0</v>
      </c>
      <c r="BJ141" s="317">
        <v>180</v>
      </c>
      <c r="BK141" s="318"/>
      <c r="BL141" s="318"/>
      <c r="BM141" s="318" t="b">
        <v>0</v>
      </c>
    </row>
    <row r="142" spans="1:65" ht="24.95" customHeight="1">
      <c r="A142" s="895">
        <v>151</v>
      </c>
      <c r="B142" s="1907"/>
      <c r="C142" s="1908"/>
      <c r="D142" s="1908"/>
      <c r="E142" s="1908"/>
      <c r="F142" s="1908"/>
      <c r="G142" s="1909"/>
      <c r="H142" s="543"/>
      <c r="I142" s="544"/>
      <c r="J142" s="545"/>
      <c r="K142" s="928"/>
      <c r="L142" s="928"/>
      <c r="M142" s="928"/>
      <c r="N142" s="1085">
        <v>181</v>
      </c>
      <c r="O142" s="1907"/>
      <c r="P142" s="1908"/>
      <c r="Q142" s="1908"/>
      <c r="R142" s="1908"/>
      <c r="S142" s="1908"/>
      <c r="T142" s="1909"/>
      <c r="U142" s="543"/>
      <c r="V142" s="544"/>
      <c r="W142" s="545"/>
      <c r="X142" s="928"/>
      <c r="Y142" s="928"/>
      <c r="Z142" s="545"/>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83">
        <v>139</v>
      </c>
      <c r="BB142" s="84">
        <f t="shared" si="51"/>
        <v>0</v>
      </c>
      <c r="BC142" s="85">
        <f t="shared" si="54"/>
        <v>0</v>
      </c>
      <c r="BD142" s="86">
        <f t="shared" si="52"/>
        <v>0</v>
      </c>
      <c r="BE142" s="86">
        <f t="shared" si="53"/>
        <v>0</v>
      </c>
      <c r="BF142" s="316">
        <v>151</v>
      </c>
      <c r="BG142" s="318">
        <f t="shared" si="55"/>
        <v>0</v>
      </c>
      <c r="BH142" s="318">
        <f t="shared" si="56"/>
        <v>0</v>
      </c>
      <c r="BI142" s="318" t="b">
        <v>0</v>
      </c>
      <c r="BJ142" s="317">
        <v>181</v>
      </c>
      <c r="BK142" s="318"/>
      <c r="BL142" s="318"/>
      <c r="BM142" s="318" t="b">
        <v>0</v>
      </c>
    </row>
    <row r="143" spans="1:65" ht="24.95" customHeight="1">
      <c r="A143" s="895">
        <v>152</v>
      </c>
      <c r="B143" s="1907"/>
      <c r="C143" s="1908"/>
      <c r="D143" s="1908"/>
      <c r="E143" s="1908"/>
      <c r="F143" s="1908"/>
      <c r="G143" s="1909"/>
      <c r="H143" s="543"/>
      <c r="I143" s="544"/>
      <c r="J143" s="545"/>
      <c r="K143" s="928"/>
      <c r="L143" s="928"/>
      <c r="M143" s="921"/>
      <c r="N143" s="894">
        <v>182</v>
      </c>
      <c r="O143" s="1907"/>
      <c r="P143" s="1908"/>
      <c r="Q143" s="1908"/>
      <c r="R143" s="1908"/>
      <c r="S143" s="1908"/>
      <c r="T143" s="1909"/>
      <c r="U143" s="543"/>
      <c r="V143" s="544"/>
      <c r="W143" s="545"/>
      <c r="X143" s="928"/>
      <c r="Y143" s="928"/>
      <c r="Z143" s="545"/>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83">
        <v>140</v>
      </c>
      <c r="BB143" s="84">
        <f t="shared" si="51"/>
        <v>0</v>
      </c>
      <c r="BC143" s="85">
        <f t="shared" si="54"/>
        <v>0</v>
      </c>
      <c r="BD143" s="86">
        <f t="shared" si="52"/>
        <v>0</v>
      </c>
      <c r="BE143" s="86">
        <f t="shared" si="53"/>
        <v>0</v>
      </c>
      <c r="BF143" s="316">
        <v>152</v>
      </c>
      <c r="BG143" s="318">
        <f t="shared" si="55"/>
        <v>0</v>
      </c>
      <c r="BH143" s="318">
        <f t="shared" si="56"/>
        <v>0</v>
      </c>
      <c r="BI143" s="318" t="b">
        <v>0</v>
      </c>
      <c r="BJ143" s="317">
        <v>182</v>
      </c>
      <c r="BK143" s="318"/>
      <c r="BL143" s="318"/>
      <c r="BM143" s="318" t="b">
        <v>0</v>
      </c>
    </row>
    <row r="144" spans="1:65" ht="24.95" customHeight="1">
      <c r="A144" s="895">
        <v>153</v>
      </c>
      <c r="B144" s="1907"/>
      <c r="C144" s="1908"/>
      <c r="D144" s="1908"/>
      <c r="E144" s="1908"/>
      <c r="F144" s="1908"/>
      <c r="G144" s="1909"/>
      <c r="H144" s="543"/>
      <c r="I144" s="544"/>
      <c r="J144" s="545"/>
      <c r="K144" s="928"/>
      <c r="L144" s="928"/>
      <c r="M144" s="921"/>
      <c r="N144" s="894">
        <v>183</v>
      </c>
      <c r="O144" s="1907"/>
      <c r="P144" s="1908"/>
      <c r="Q144" s="1908"/>
      <c r="R144" s="1908"/>
      <c r="S144" s="1908"/>
      <c r="T144" s="1909"/>
      <c r="U144" s="543"/>
      <c r="V144" s="544"/>
      <c r="W144" s="545"/>
      <c r="X144" s="928"/>
      <c r="Y144" s="928"/>
      <c r="Z144" s="545"/>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83">
        <v>141</v>
      </c>
      <c r="BB144" s="84">
        <f>COUNTA(H132:I132)</f>
        <v>0</v>
      </c>
      <c r="BC144" s="85">
        <f>COUNTA(K132)</f>
        <v>0</v>
      </c>
      <c r="BD144" s="86">
        <f t="shared" ref="BD144:BE173" si="57">BB144-COUNTA(H132)</f>
        <v>0</v>
      </c>
      <c r="BE144" s="86">
        <f t="shared" si="57"/>
        <v>0</v>
      </c>
      <c r="BF144" s="316">
        <v>153</v>
      </c>
      <c r="BG144" s="318">
        <f t="shared" si="55"/>
        <v>0</v>
      </c>
      <c r="BH144" s="318">
        <f t="shared" si="56"/>
        <v>0</v>
      </c>
      <c r="BI144" s="318" t="b">
        <v>0</v>
      </c>
      <c r="BJ144" s="317">
        <v>183</v>
      </c>
      <c r="BK144" s="318"/>
      <c r="BL144" s="318"/>
      <c r="BM144" s="318" t="b">
        <v>0</v>
      </c>
    </row>
    <row r="145" spans="1:65" ht="24.95" customHeight="1">
      <c r="A145" s="895">
        <v>154</v>
      </c>
      <c r="B145" s="1907"/>
      <c r="C145" s="1908"/>
      <c r="D145" s="1908"/>
      <c r="E145" s="1908"/>
      <c r="F145" s="1908"/>
      <c r="G145" s="1909"/>
      <c r="H145" s="543"/>
      <c r="I145" s="544"/>
      <c r="J145" s="545"/>
      <c r="K145" s="928"/>
      <c r="L145" s="928"/>
      <c r="M145" s="921"/>
      <c r="N145" s="894">
        <v>184</v>
      </c>
      <c r="O145" s="1907"/>
      <c r="P145" s="1908"/>
      <c r="Q145" s="1908"/>
      <c r="R145" s="1908"/>
      <c r="S145" s="1908"/>
      <c r="T145" s="1909"/>
      <c r="U145" s="543"/>
      <c r="V145" s="544"/>
      <c r="W145" s="545"/>
      <c r="X145" s="928"/>
      <c r="Y145" s="928"/>
      <c r="Z145" s="545"/>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83">
        <v>142</v>
      </c>
      <c r="BB145" s="84">
        <f t="shared" ref="BB145:BB173" si="58">COUNTA(H133:I133)</f>
        <v>0</v>
      </c>
      <c r="BC145" s="85">
        <f t="shared" ref="BC145:BC173" si="59">COUNTA(K133)</f>
        <v>0</v>
      </c>
      <c r="BD145" s="86">
        <f t="shared" si="57"/>
        <v>0</v>
      </c>
      <c r="BE145" s="86">
        <f t="shared" si="57"/>
        <v>0</v>
      </c>
      <c r="BF145" s="316">
        <v>154</v>
      </c>
      <c r="BG145" s="318">
        <f t="shared" si="55"/>
        <v>0</v>
      </c>
      <c r="BH145" s="318">
        <f t="shared" si="56"/>
        <v>0</v>
      </c>
      <c r="BI145" s="318" t="b">
        <v>0</v>
      </c>
      <c r="BJ145" s="317">
        <v>184</v>
      </c>
      <c r="BK145" s="318"/>
      <c r="BL145" s="318"/>
      <c r="BM145" s="318" t="b">
        <v>0</v>
      </c>
    </row>
    <row r="146" spans="1:65" ht="24.95" customHeight="1">
      <c r="A146" s="895">
        <v>155</v>
      </c>
      <c r="B146" s="1907"/>
      <c r="C146" s="1908"/>
      <c r="D146" s="1908"/>
      <c r="E146" s="1908"/>
      <c r="F146" s="1908"/>
      <c r="G146" s="1909"/>
      <c r="H146" s="543"/>
      <c r="I146" s="544"/>
      <c r="J146" s="545"/>
      <c r="K146" s="928"/>
      <c r="L146" s="928"/>
      <c r="M146" s="921"/>
      <c r="N146" s="894">
        <v>185</v>
      </c>
      <c r="O146" s="1907"/>
      <c r="P146" s="1908"/>
      <c r="Q146" s="1908"/>
      <c r="R146" s="1908"/>
      <c r="S146" s="1908"/>
      <c r="T146" s="1909"/>
      <c r="U146" s="543"/>
      <c r="V146" s="544"/>
      <c r="W146" s="545"/>
      <c r="X146" s="928"/>
      <c r="Y146" s="928"/>
      <c r="Z146" s="545"/>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83">
        <v>143</v>
      </c>
      <c r="BB146" s="84">
        <f t="shared" si="58"/>
        <v>0</v>
      </c>
      <c r="BC146" s="85">
        <f t="shared" si="59"/>
        <v>0</v>
      </c>
      <c r="BD146" s="86">
        <f t="shared" si="57"/>
        <v>0</v>
      </c>
      <c r="BE146" s="86">
        <f t="shared" si="57"/>
        <v>0</v>
      </c>
      <c r="BF146" s="316">
        <v>155</v>
      </c>
      <c r="BG146" s="318">
        <f t="shared" si="55"/>
        <v>0</v>
      </c>
      <c r="BH146" s="318">
        <f t="shared" si="56"/>
        <v>0</v>
      </c>
      <c r="BI146" s="318" t="b">
        <v>0</v>
      </c>
      <c r="BJ146" s="317">
        <v>185</v>
      </c>
      <c r="BK146" s="318"/>
      <c r="BL146" s="318"/>
      <c r="BM146" s="318" t="b">
        <v>0</v>
      </c>
    </row>
    <row r="147" spans="1:65" ht="24.95" customHeight="1">
      <c r="A147" s="895">
        <v>156</v>
      </c>
      <c r="B147" s="1907"/>
      <c r="C147" s="1908"/>
      <c r="D147" s="1908"/>
      <c r="E147" s="1908"/>
      <c r="F147" s="1908"/>
      <c r="G147" s="1909"/>
      <c r="H147" s="543"/>
      <c r="I147" s="544"/>
      <c r="J147" s="545"/>
      <c r="K147" s="928"/>
      <c r="L147" s="928"/>
      <c r="M147" s="921"/>
      <c r="N147" s="894">
        <v>186</v>
      </c>
      <c r="O147" s="1907"/>
      <c r="P147" s="1908"/>
      <c r="Q147" s="1908"/>
      <c r="R147" s="1908"/>
      <c r="S147" s="1908"/>
      <c r="T147" s="1909"/>
      <c r="U147" s="543"/>
      <c r="V147" s="544"/>
      <c r="W147" s="545"/>
      <c r="X147" s="928"/>
      <c r="Y147" s="928"/>
      <c r="Z147" s="545"/>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83">
        <v>144</v>
      </c>
      <c r="BB147" s="84">
        <f t="shared" si="58"/>
        <v>0</v>
      </c>
      <c r="BC147" s="85">
        <f t="shared" si="59"/>
        <v>0</v>
      </c>
      <c r="BD147" s="86">
        <f t="shared" si="57"/>
        <v>0</v>
      </c>
      <c r="BE147" s="86">
        <f t="shared" si="57"/>
        <v>0</v>
      </c>
      <c r="BF147" s="316">
        <v>156</v>
      </c>
      <c r="BG147" s="318">
        <f t="shared" si="55"/>
        <v>0</v>
      </c>
      <c r="BH147" s="318">
        <f t="shared" si="56"/>
        <v>0</v>
      </c>
      <c r="BI147" s="318" t="b">
        <v>0</v>
      </c>
      <c r="BJ147" s="317">
        <v>186</v>
      </c>
      <c r="BK147" s="318"/>
      <c r="BL147" s="318"/>
      <c r="BM147" s="318" t="b">
        <v>0</v>
      </c>
    </row>
    <row r="148" spans="1:65" ht="24.95" customHeight="1">
      <c r="A148" s="895">
        <v>157</v>
      </c>
      <c r="B148" s="1907"/>
      <c r="C148" s="1908"/>
      <c r="D148" s="1908"/>
      <c r="E148" s="1908"/>
      <c r="F148" s="1908"/>
      <c r="G148" s="1909"/>
      <c r="H148" s="543"/>
      <c r="I148" s="544"/>
      <c r="J148" s="545"/>
      <c r="K148" s="928"/>
      <c r="L148" s="928"/>
      <c r="M148" s="921"/>
      <c r="N148" s="894">
        <v>187</v>
      </c>
      <c r="O148" s="1907"/>
      <c r="P148" s="1908"/>
      <c r="Q148" s="1908"/>
      <c r="R148" s="1908"/>
      <c r="S148" s="1908"/>
      <c r="T148" s="1909"/>
      <c r="U148" s="543"/>
      <c r="V148" s="544"/>
      <c r="W148" s="545"/>
      <c r="X148" s="928"/>
      <c r="Y148" s="928"/>
      <c r="Z148" s="545"/>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83">
        <v>145</v>
      </c>
      <c r="BB148" s="84">
        <f t="shared" si="58"/>
        <v>0</v>
      </c>
      <c r="BC148" s="85">
        <f t="shared" si="59"/>
        <v>0</v>
      </c>
      <c r="BD148" s="86">
        <f t="shared" si="57"/>
        <v>0</v>
      </c>
      <c r="BE148" s="86">
        <f t="shared" si="57"/>
        <v>0</v>
      </c>
      <c r="BF148" s="316">
        <v>157</v>
      </c>
      <c r="BG148" s="318">
        <f t="shared" si="55"/>
        <v>0</v>
      </c>
      <c r="BH148" s="318">
        <f t="shared" si="56"/>
        <v>0</v>
      </c>
      <c r="BI148" s="318" t="b">
        <v>0</v>
      </c>
      <c r="BJ148" s="317">
        <v>187</v>
      </c>
      <c r="BK148" s="318"/>
      <c r="BL148" s="318"/>
      <c r="BM148" s="318" t="b">
        <v>0</v>
      </c>
    </row>
    <row r="149" spans="1:65" ht="24.95" customHeight="1">
      <c r="A149" s="895">
        <v>158</v>
      </c>
      <c r="B149" s="1907"/>
      <c r="C149" s="1908"/>
      <c r="D149" s="1908"/>
      <c r="E149" s="1908"/>
      <c r="F149" s="1908"/>
      <c r="G149" s="1909"/>
      <c r="H149" s="543"/>
      <c r="I149" s="544"/>
      <c r="J149" s="545"/>
      <c r="K149" s="928"/>
      <c r="L149" s="928"/>
      <c r="M149" s="921"/>
      <c r="N149" s="894">
        <v>188</v>
      </c>
      <c r="O149" s="1907"/>
      <c r="P149" s="1908"/>
      <c r="Q149" s="1908"/>
      <c r="R149" s="1908"/>
      <c r="S149" s="1908"/>
      <c r="T149" s="1909"/>
      <c r="U149" s="543"/>
      <c r="V149" s="544"/>
      <c r="W149" s="545"/>
      <c r="X149" s="928"/>
      <c r="Y149" s="928"/>
      <c r="Z149" s="545"/>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83">
        <v>146</v>
      </c>
      <c r="BB149" s="84">
        <f t="shared" si="58"/>
        <v>0</v>
      </c>
      <c r="BC149" s="85">
        <f t="shared" si="59"/>
        <v>0</v>
      </c>
      <c r="BD149" s="86">
        <f t="shared" si="57"/>
        <v>0</v>
      </c>
      <c r="BE149" s="86">
        <f t="shared" si="57"/>
        <v>0</v>
      </c>
      <c r="BF149" s="316">
        <v>158</v>
      </c>
      <c r="BG149" s="318">
        <f t="shared" si="55"/>
        <v>0</v>
      </c>
      <c r="BH149" s="318">
        <f t="shared" si="56"/>
        <v>0</v>
      </c>
      <c r="BI149" s="318" t="b">
        <v>0</v>
      </c>
      <c r="BJ149" s="317">
        <v>188</v>
      </c>
      <c r="BK149" s="318"/>
      <c r="BL149" s="318"/>
      <c r="BM149" s="318" t="b">
        <v>0</v>
      </c>
    </row>
    <row r="150" spans="1:65" ht="24.95" customHeight="1">
      <c r="A150" s="895">
        <v>159</v>
      </c>
      <c r="B150" s="1907"/>
      <c r="C150" s="1908"/>
      <c r="D150" s="1908"/>
      <c r="E150" s="1908"/>
      <c r="F150" s="1908"/>
      <c r="G150" s="1909"/>
      <c r="H150" s="543"/>
      <c r="I150" s="544"/>
      <c r="J150" s="545"/>
      <c r="K150" s="928"/>
      <c r="L150" s="928"/>
      <c r="M150" s="921"/>
      <c r="N150" s="894">
        <v>189</v>
      </c>
      <c r="O150" s="1907"/>
      <c r="P150" s="1908"/>
      <c r="Q150" s="1908"/>
      <c r="R150" s="1908"/>
      <c r="S150" s="1908"/>
      <c r="T150" s="1909"/>
      <c r="U150" s="543"/>
      <c r="V150" s="544"/>
      <c r="W150" s="545"/>
      <c r="X150" s="928"/>
      <c r="Y150" s="928"/>
      <c r="Z150" s="545"/>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83">
        <v>147</v>
      </c>
      <c r="BB150" s="84">
        <f t="shared" si="58"/>
        <v>0</v>
      </c>
      <c r="BC150" s="85">
        <f t="shared" si="59"/>
        <v>0</v>
      </c>
      <c r="BD150" s="86">
        <f t="shared" si="57"/>
        <v>0</v>
      </c>
      <c r="BE150" s="86">
        <f t="shared" si="57"/>
        <v>0</v>
      </c>
      <c r="BF150" s="316">
        <v>159</v>
      </c>
      <c r="BG150" s="318">
        <f t="shared" si="55"/>
        <v>0</v>
      </c>
      <c r="BH150" s="318">
        <f t="shared" si="56"/>
        <v>0</v>
      </c>
      <c r="BI150" s="318" t="b">
        <v>0</v>
      </c>
      <c r="BJ150" s="317">
        <v>189</v>
      </c>
      <c r="BK150" s="318"/>
      <c r="BL150" s="318"/>
      <c r="BM150" s="318" t="b">
        <v>0</v>
      </c>
    </row>
    <row r="151" spans="1:65" ht="24.95" customHeight="1">
      <c r="A151" s="895">
        <v>160</v>
      </c>
      <c r="B151" s="1910"/>
      <c r="C151" s="1910"/>
      <c r="D151" s="1910"/>
      <c r="E151" s="1910"/>
      <c r="F151" s="1910"/>
      <c r="G151" s="1910"/>
      <c r="H151" s="543"/>
      <c r="I151" s="544"/>
      <c r="J151" s="545"/>
      <c r="K151" s="928"/>
      <c r="L151" s="928"/>
      <c r="M151" s="921"/>
      <c r="N151" s="894">
        <v>190</v>
      </c>
      <c r="O151" s="1921"/>
      <c r="P151" s="1918"/>
      <c r="Q151" s="1918"/>
      <c r="R151" s="1918"/>
      <c r="S151" s="1918"/>
      <c r="T151" s="1919"/>
      <c r="U151" s="543"/>
      <c r="V151" s="544"/>
      <c r="W151" s="545"/>
      <c r="X151" s="928"/>
      <c r="Y151" s="928"/>
      <c r="Z151" s="545"/>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83">
        <v>148</v>
      </c>
      <c r="BB151" s="84">
        <f t="shared" si="58"/>
        <v>0</v>
      </c>
      <c r="BC151" s="85">
        <f t="shared" si="59"/>
        <v>0</v>
      </c>
      <c r="BD151" s="86">
        <f t="shared" si="57"/>
        <v>0</v>
      </c>
      <c r="BE151" s="86">
        <f t="shared" si="57"/>
        <v>0</v>
      </c>
      <c r="BF151" s="316">
        <v>160</v>
      </c>
      <c r="BG151" s="318">
        <f t="shared" si="55"/>
        <v>0</v>
      </c>
      <c r="BH151" s="318">
        <f t="shared" si="56"/>
        <v>0</v>
      </c>
      <c r="BI151" s="318" t="b">
        <v>0</v>
      </c>
      <c r="BJ151" s="317">
        <v>190</v>
      </c>
      <c r="BK151" s="318"/>
      <c r="BL151" s="318"/>
      <c r="BM151" s="318" t="b">
        <v>0</v>
      </c>
    </row>
    <row r="152" spans="1:65" ht="24.95" customHeight="1">
      <c r="A152" s="895">
        <v>161</v>
      </c>
      <c r="B152" s="1910"/>
      <c r="C152" s="1910"/>
      <c r="D152" s="1910"/>
      <c r="E152" s="1910"/>
      <c r="F152" s="1910"/>
      <c r="G152" s="1910"/>
      <c r="H152" s="543"/>
      <c r="I152" s="544"/>
      <c r="J152" s="545"/>
      <c r="K152" s="928"/>
      <c r="L152" s="928"/>
      <c r="M152" s="921"/>
      <c r="N152" s="1086">
        <v>191</v>
      </c>
      <c r="O152" s="1907"/>
      <c r="P152" s="1908"/>
      <c r="Q152" s="1908"/>
      <c r="R152" s="1908"/>
      <c r="S152" s="1908"/>
      <c r="T152" s="1909"/>
      <c r="U152" s="543"/>
      <c r="V152" s="544"/>
      <c r="W152" s="545"/>
      <c r="X152" s="928"/>
      <c r="Y152" s="928"/>
      <c r="Z152" s="545"/>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83">
        <v>149</v>
      </c>
      <c r="BB152" s="84">
        <f t="shared" si="58"/>
        <v>0</v>
      </c>
      <c r="BC152" s="85">
        <f t="shared" si="59"/>
        <v>0</v>
      </c>
      <c r="BD152" s="86">
        <f t="shared" si="57"/>
        <v>0</v>
      </c>
      <c r="BE152" s="86">
        <f t="shared" si="57"/>
        <v>0</v>
      </c>
      <c r="BF152" s="316">
        <v>161</v>
      </c>
      <c r="BG152" s="318">
        <f t="shared" si="55"/>
        <v>0</v>
      </c>
      <c r="BH152" s="318">
        <f t="shared" si="56"/>
        <v>0</v>
      </c>
      <c r="BI152" s="318" t="b">
        <v>0</v>
      </c>
      <c r="BJ152" s="317">
        <v>191</v>
      </c>
      <c r="BK152" s="318"/>
      <c r="BL152" s="318"/>
      <c r="BM152" s="318" t="b">
        <v>0</v>
      </c>
    </row>
    <row r="153" spans="1:65" ht="24.95" customHeight="1">
      <c r="A153" s="895">
        <v>162</v>
      </c>
      <c r="B153" s="1910"/>
      <c r="C153" s="1910"/>
      <c r="D153" s="1910"/>
      <c r="E153" s="1910"/>
      <c r="F153" s="1910"/>
      <c r="G153" s="1910"/>
      <c r="H153" s="543"/>
      <c r="I153" s="544"/>
      <c r="J153" s="545"/>
      <c r="K153" s="928"/>
      <c r="L153" s="928"/>
      <c r="M153" s="921"/>
      <c r="N153" s="894">
        <v>192</v>
      </c>
      <c r="O153" s="1907"/>
      <c r="P153" s="1908"/>
      <c r="Q153" s="1908"/>
      <c r="R153" s="1908"/>
      <c r="S153" s="1908"/>
      <c r="T153" s="1909"/>
      <c r="U153" s="543"/>
      <c r="V153" s="544"/>
      <c r="W153" s="545"/>
      <c r="X153" s="928"/>
      <c r="Y153" s="928"/>
      <c r="Z153" s="545"/>
      <c r="BA153" s="83">
        <v>150</v>
      </c>
      <c r="BB153" s="84">
        <f t="shared" si="58"/>
        <v>0</v>
      </c>
      <c r="BC153" s="85">
        <f t="shared" si="59"/>
        <v>0</v>
      </c>
      <c r="BD153" s="86">
        <f t="shared" si="57"/>
        <v>0</v>
      </c>
      <c r="BE153" s="86">
        <f t="shared" si="57"/>
        <v>0</v>
      </c>
      <c r="BF153" s="316">
        <v>162</v>
      </c>
      <c r="BG153" s="318">
        <f t="shared" si="55"/>
        <v>0</v>
      </c>
      <c r="BH153" s="318">
        <f t="shared" si="56"/>
        <v>0</v>
      </c>
      <c r="BI153" s="318" t="b">
        <v>0</v>
      </c>
      <c r="BJ153" s="317">
        <v>192</v>
      </c>
      <c r="BK153" s="318"/>
      <c r="BL153" s="318"/>
      <c r="BM153" s="318" t="b">
        <v>0</v>
      </c>
    </row>
    <row r="154" spans="1:65" ht="24.95" customHeight="1">
      <c r="A154" s="895">
        <v>163</v>
      </c>
      <c r="B154" s="1910"/>
      <c r="C154" s="1910"/>
      <c r="D154" s="1910"/>
      <c r="E154" s="1910"/>
      <c r="F154" s="1910"/>
      <c r="G154" s="1910"/>
      <c r="H154" s="543"/>
      <c r="I154" s="544"/>
      <c r="J154" s="545"/>
      <c r="K154" s="928"/>
      <c r="L154" s="928"/>
      <c r="M154" s="921"/>
      <c r="N154" s="894">
        <v>193</v>
      </c>
      <c r="O154" s="1907"/>
      <c r="P154" s="1908"/>
      <c r="Q154" s="1908"/>
      <c r="R154" s="1908"/>
      <c r="S154" s="1908"/>
      <c r="T154" s="1909"/>
      <c r="U154" s="543"/>
      <c r="V154" s="544"/>
      <c r="W154" s="545"/>
      <c r="X154" s="928"/>
      <c r="Y154" s="928"/>
      <c r="Z154" s="545"/>
      <c r="BA154" s="83">
        <v>151</v>
      </c>
      <c r="BB154" s="84">
        <f t="shared" si="58"/>
        <v>0</v>
      </c>
      <c r="BC154" s="85">
        <f t="shared" si="59"/>
        <v>0</v>
      </c>
      <c r="BD154" s="86">
        <f t="shared" si="57"/>
        <v>0</v>
      </c>
      <c r="BE154" s="86">
        <f t="shared" si="57"/>
        <v>0</v>
      </c>
      <c r="BF154" s="316">
        <v>163</v>
      </c>
      <c r="BG154" s="318">
        <f t="shared" si="55"/>
        <v>0</v>
      </c>
      <c r="BH154" s="318">
        <f t="shared" si="56"/>
        <v>0</v>
      </c>
      <c r="BI154" s="318" t="b">
        <v>0</v>
      </c>
      <c r="BJ154" s="317">
        <v>193</v>
      </c>
      <c r="BK154" s="318"/>
      <c r="BL154" s="318"/>
      <c r="BM154" s="318" t="b">
        <v>0</v>
      </c>
    </row>
    <row r="155" spans="1:65" ht="24.95" customHeight="1">
      <c r="A155" s="895">
        <v>164</v>
      </c>
      <c r="B155" s="1910"/>
      <c r="C155" s="1910"/>
      <c r="D155" s="1910"/>
      <c r="E155" s="1910"/>
      <c r="F155" s="1910"/>
      <c r="G155" s="1910"/>
      <c r="H155" s="543"/>
      <c r="I155" s="544"/>
      <c r="J155" s="545"/>
      <c r="K155" s="928"/>
      <c r="L155" s="928"/>
      <c r="M155" s="921"/>
      <c r="N155" s="894">
        <v>194</v>
      </c>
      <c r="O155" s="1907"/>
      <c r="P155" s="1908"/>
      <c r="Q155" s="1908"/>
      <c r="R155" s="1908"/>
      <c r="S155" s="1908"/>
      <c r="T155" s="1909"/>
      <c r="U155" s="543"/>
      <c r="V155" s="544"/>
      <c r="W155" s="545"/>
      <c r="X155" s="928"/>
      <c r="Y155" s="928"/>
      <c r="Z155" s="545"/>
      <c r="BA155" s="83">
        <v>152</v>
      </c>
      <c r="BB155" s="84">
        <f t="shared" si="58"/>
        <v>0</v>
      </c>
      <c r="BC155" s="85">
        <f t="shared" si="59"/>
        <v>0</v>
      </c>
      <c r="BD155" s="86">
        <f t="shared" si="57"/>
        <v>0</v>
      </c>
      <c r="BE155" s="86">
        <f t="shared" si="57"/>
        <v>0</v>
      </c>
      <c r="BF155" s="316">
        <v>164</v>
      </c>
      <c r="BG155" s="318">
        <f t="shared" si="55"/>
        <v>0</v>
      </c>
      <c r="BH155" s="318">
        <f t="shared" si="56"/>
        <v>0</v>
      </c>
      <c r="BI155" s="318" t="b">
        <v>0</v>
      </c>
      <c r="BJ155" s="317">
        <v>194</v>
      </c>
      <c r="BK155" s="318"/>
      <c r="BL155" s="318"/>
      <c r="BM155" s="318" t="b">
        <v>0</v>
      </c>
    </row>
    <row r="156" spans="1:65" ht="24.95" customHeight="1">
      <c r="A156" s="895">
        <v>165</v>
      </c>
      <c r="B156" s="1910"/>
      <c r="C156" s="1910"/>
      <c r="D156" s="1910"/>
      <c r="E156" s="1910"/>
      <c r="F156" s="1910"/>
      <c r="G156" s="1910"/>
      <c r="H156" s="543"/>
      <c r="I156" s="544"/>
      <c r="J156" s="545"/>
      <c r="K156" s="928"/>
      <c r="L156" s="928"/>
      <c r="M156" s="921"/>
      <c r="N156" s="894">
        <v>195</v>
      </c>
      <c r="O156" s="1907"/>
      <c r="P156" s="1908"/>
      <c r="Q156" s="1908"/>
      <c r="R156" s="1908"/>
      <c r="S156" s="1908"/>
      <c r="T156" s="1909"/>
      <c r="U156" s="543"/>
      <c r="V156" s="544"/>
      <c r="W156" s="545"/>
      <c r="X156" s="928"/>
      <c r="Y156" s="928"/>
      <c r="Z156" s="545"/>
      <c r="BA156" s="83">
        <v>153</v>
      </c>
      <c r="BB156" s="84">
        <f t="shared" si="58"/>
        <v>0</v>
      </c>
      <c r="BC156" s="85">
        <f t="shared" si="59"/>
        <v>0</v>
      </c>
      <c r="BD156" s="86">
        <f t="shared" si="57"/>
        <v>0</v>
      </c>
      <c r="BE156" s="86">
        <f t="shared" si="57"/>
        <v>0</v>
      </c>
      <c r="BF156" s="316">
        <v>165</v>
      </c>
      <c r="BG156" s="318">
        <f t="shared" si="55"/>
        <v>0</v>
      </c>
      <c r="BH156" s="318">
        <f t="shared" si="56"/>
        <v>0</v>
      </c>
      <c r="BI156" s="318" t="b">
        <v>0</v>
      </c>
      <c r="BJ156" s="317">
        <v>195</v>
      </c>
      <c r="BK156" s="318"/>
      <c r="BL156" s="318"/>
      <c r="BM156" s="318" t="b">
        <v>0</v>
      </c>
    </row>
    <row r="157" spans="1:65" ht="24.95" customHeight="1">
      <c r="A157" s="895">
        <v>166</v>
      </c>
      <c r="B157" s="1910"/>
      <c r="C157" s="1910"/>
      <c r="D157" s="1910"/>
      <c r="E157" s="1910"/>
      <c r="F157" s="1910"/>
      <c r="G157" s="1910"/>
      <c r="H157" s="543"/>
      <c r="I157" s="544"/>
      <c r="J157" s="545"/>
      <c r="K157" s="928"/>
      <c r="L157" s="928"/>
      <c r="M157" s="921"/>
      <c r="N157" s="894">
        <v>196</v>
      </c>
      <c r="O157" s="1907"/>
      <c r="P157" s="1908"/>
      <c r="Q157" s="1908"/>
      <c r="R157" s="1908"/>
      <c r="S157" s="1908"/>
      <c r="T157" s="1909"/>
      <c r="U157" s="543"/>
      <c r="V157" s="544"/>
      <c r="W157" s="545"/>
      <c r="X157" s="928"/>
      <c r="Y157" s="928"/>
      <c r="Z157" s="545"/>
      <c r="BA157" s="83">
        <v>154</v>
      </c>
      <c r="BB157" s="84">
        <f t="shared" si="58"/>
        <v>0</v>
      </c>
      <c r="BC157" s="85">
        <f t="shared" si="59"/>
        <v>0</v>
      </c>
      <c r="BD157" s="86">
        <f t="shared" si="57"/>
        <v>0</v>
      </c>
      <c r="BE157" s="86">
        <f t="shared" si="57"/>
        <v>0</v>
      </c>
      <c r="BF157" s="316">
        <v>166</v>
      </c>
      <c r="BG157" s="318">
        <f t="shared" si="55"/>
        <v>0</v>
      </c>
      <c r="BH157" s="318">
        <f t="shared" si="56"/>
        <v>0</v>
      </c>
      <c r="BI157" s="318" t="b">
        <v>0</v>
      </c>
      <c r="BJ157" s="317">
        <v>196</v>
      </c>
      <c r="BK157" s="318"/>
      <c r="BL157" s="318"/>
      <c r="BM157" s="318" t="b">
        <v>0</v>
      </c>
    </row>
    <row r="158" spans="1:65" ht="24.95" customHeight="1">
      <c r="A158" s="895">
        <v>167</v>
      </c>
      <c r="B158" s="1910"/>
      <c r="C158" s="1910"/>
      <c r="D158" s="1910"/>
      <c r="E158" s="1910"/>
      <c r="F158" s="1910"/>
      <c r="G158" s="1910"/>
      <c r="H158" s="543"/>
      <c r="I158" s="544"/>
      <c r="J158" s="545"/>
      <c r="K158" s="928"/>
      <c r="L158" s="928"/>
      <c r="M158" s="921"/>
      <c r="N158" s="894">
        <v>197</v>
      </c>
      <c r="O158" s="1907"/>
      <c r="P158" s="1908"/>
      <c r="Q158" s="1908"/>
      <c r="R158" s="1908"/>
      <c r="S158" s="1908"/>
      <c r="T158" s="1909"/>
      <c r="U158" s="543"/>
      <c r="V158" s="544"/>
      <c r="W158" s="545"/>
      <c r="X158" s="928"/>
      <c r="Y158" s="928"/>
      <c r="Z158" s="545"/>
      <c r="BA158" s="83">
        <v>155</v>
      </c>
      <c r="BB158" s="84">
        <f t="shared" si="58"/>
        <v>0</v>
      </c>
      <c r="BC158" s="85">
        <f t="shared" si="59"/>
        <v>0</v>
      </c>
      <c r="BD158" s="86">
        <f t="shared" si="57"/>
        <v>0</v>
      </c>
      <c r="BE158" s="86">
        <f t="shared" si="57"/>
        <v>0</v>
      </c>
      <c r="BF158" s="316">
        <v>167</v>
      </c>
      <c r="BG158" s="318">
        <f t="shared" si="55"/>
        <v>0</v>
      </c>
      <c r="BH158" s="318">
        <f t="shared" si="56"/>
        <v>0</v>
      </c>
      <c r="BI158" s="318" t="b">
        <v>0</v>
      </c>
      <c r="BJ158" s="317">
        <v>197</v>
      </c>
      <c r="BK158" s="318"/>
      <c r="BL158" s="318"/>
      <c r="BM158" s="318" t="b">
        <v>0</v>
      </c>
    </row>
    <row r="159" spans="1:65" ht="24.95" customHeight="1">
      <c r="A159" s="895">
        <v>168</v>
      </c>
      <c r="B159" s="1910"/>
      <c r="C159" s="1910"/>
      <c r="D159" s="1910"/>
      <c r="E159" s="1910"/>
      <c r="F159" s="1910"/>
      <c r="G159" s="1910"/>
      <c r="H159" s="543"/>
      <c r="I159" s="544"/>
      <c r="J159" s="545"/>
      <c r="K159" s="928"/>
      <c r="L159" s="928"/>
      <c r="M159" s="921"/>
      <c r="N159" s="894">
        <v>198</v>
      </c>
      <c r="O159" s="1907"/>
      <c r="P159" s="1908"/>
      <c r="Q159" s="1908"/>
      <c r="R159" s="1908"/>
      <c r="S159" s="1908"/>
      <c r="T159" s="1909"/>
      <c r="U159" s="543"/>
      <c r="V159" s="544"/>
      <c r="W159" s="545"/>
      <c r="X159" s="928"/>
      <c r="Y159" s="928"/>
      <c r="Z159" s="545"/>
      <c r="BA159" s="83">
        <v>156</v>
      </c>
      <c r="BB159" s="84">
        <f t="shared" si="58"/>
        <v>0</v>
      </c>
      <c r="BC159" s="85">
        <f t="shared" si="59"/>
        <v>0</v>
      </c>
      <c r="BD159" s="86">
        <f t="shared" si="57"/>
        <v>0</v>
      </c>
      <c r="BE159" s="86">
        <f t="shared" si="57"/>
        <v>0</v>
      </c>
      <c r="BF159" s="316">
        <v>168</v>
      </c>
      <c r="BG159" s="318">
        <f t="shared" si="55"/>
        <v>0</v>
      </c>
      <c r="BH159" s="318">
        <f t="shared" si="56"/>
        <v>0</v>
      </c>
      <c r="BI159" s="318" t="b">
        <v>0</v>
      </c>
      <c r="BJ159" s="317">
        <v>198</v>
      </c>
      <c r="BK159" s="318"/>
      <c r="BL159" s="318"/>
      <c r="BM159" s="318" t="b">
        <v>0</v>
      </c>
    </row>
    <row r="160" spans="1:65" ht="24.95" customHeight="1">
      <c r="A160" s="895">
        <v>169</v>
      </c>
      <c r="B160" s="1910"/>
      <c r="C160" s="1910"/>
      <c r="D160" s="1910"/>
      <c r="E160" s="1910"/>
      <c r="F160" s="1910"/>
      <c r="G160" s="1910"/>
      <c r="H160" s="543"/>
      <c r="I160" s="544"/>
      <c r="J160" s="545"/>
      <c r="K160" s="928"/>
      <c r="L160" s="928"/>
      <c r="M160" s="921"/>
      <c r="N160" s="894">
        <v>199</v>
      </c>
      <c r="O160" s="1907"/>
      <c r="P160" s="1908"/>
      <c r="Q160" s="1908"/>
      <c r="R160" s="1908"/>
      <c r="S160" s="1908"/>
      <c r="T160" s="1909"/>
      <c r="U160" s="543"/>
      <c r="V160" s="544"/>
      <c r="W160" s="545"/>
      <c r="X160" s="928"/>
      <c r="Y160" s="928"/>
      <c r="Z160" s="545"/>
      <c r="BA160" s="83">
        <v>157</v>
      </c>
      <c r="BB160" s="84">
        <f t="shared" si="58"/>
        <v>0</v>
      </c>
      <c r="BC160" s="85">
        <f t="shared" si="59"/>
        <v>0</v>
      </c>
      <c r="BD160" s="86">
        <f t="shared" si="57"/>
        <v>0</v>
      </c>
      <c r="BE160" s="86">
        <f t="shared" si="57"/>
        <v>0</v>
      </c>
      <c r="BF160" s="316">
        <v>169</v>
      </c>
      <c r="BG160" s="318">
        <f t="shared" si="55"/>
        <v>0</v>
      </c>
      <c r="BH160" s="318">
        <f t="shared" si="56"/>
        <v>0</v>
      </c>
      <c r="BI160" s="318" t="b">
        <v>0</v>
      </c>
      <c r="BJ160" s="317">
        <v>199</v>
      </c>
      <c r="BK160" s="318"/>
      <c r="BL160" s="318"/>
      <c r="BM160" s="318" t="b">
        <v>0</v>
      </c>
    </row>
    <row r="161" spans="1:88" ht="24.95" customHeight="1">
      <c r="A161" s="895">
        <v>170</v>
      </c>
      <c r="B161" s="1910"/>
      <c r="C161" s="1910"/>
      <c r="D161" s="1910"/>
      <c r="E161" s="1910"/>
      <c r="F161" s="1910"/>
      <c r="G161" s="1910"/>
      <c r="H161" s="543"/>
      <c r="I161" s="544"/>
      <c r="J161" s="545"/>
      <c r="K161" s="928"/>
      <c r="L161" s="928"/>
      <c r="M161" s="921"/>
      <c r="N161" s="894">
        <v>200</v>
      </c>
      <c r="O161" s="1907"/>
      <c r="P161" s="1908"/>
      <c r="Q161" s="1908"/>
      <c r="R161" s="1908"/>
      <c r="S161" s="1908"/>
      <c r="T161" s="1909"/>
      <c r="U161" s="543"/>
      <c r="V161" s="544"/>
      <c r="W161" s="545"/>
      <c r="X161" s="928"/>
      <c r="Y161" s="928"/>
      <c r="Z161" s="545"/>
      <c r="BA161" s="83">
        <v>158</v>
      </c>
      <c r="BB161" s="84">
        <f t="shared" si="58"/>
        <v>0</v>
      </c>
      <c r="BC161" s="85">
        <f t="shared" si="59"/>
        <v>0</v>
      </c>
      <c r="BD161" s="86">
        <f t="shared" si="57"/>
        <v>0</v>
      </c>
      <c r="BE161" s="86">
        <f t="shared" si="57"/>
        <v>0</v>
      </c>
      <c r="BF161" s="316">
        <v>170</v>
      </c>
      <c r="BG161" s="318">
        <f t="shared" si="55"/>
        <v>0</v>
      </c>
      <c r="BH161" s="318">
        <f t="shared" si="56"/>
        <v>0</v>
      </c>
      <c r="BI161" s="318" t="b">
        <v>0</v>
      </c>
      <c r="BJ161" s="317">
        <v>200</v>
      </c>
      <c r="BK161" s="318"/>
      <c r="BL161" s="318"/>
      <c r="BM161" s="318" t="b">
        <v>0</v>
      </c>
    </row>
    <row r="162" spans="1:88" s="55" customFormat="1" ht="24.95" customHeight="1">
      <c r="A162" s="552"/>
      <c r="B162" s="549"/>
      <c r="C162" s="549"/>
      <c r="D162" s="549"/>
      <c r="E162" s="549"/>
      <c r="F162" s="549"/>
      <c r="G162" s="549"/>
      <c r="H162" s="550"/>
      <c r="I162" s="550"/>
      <c r="J162" s="559"/>
      <c r="K162" s="559"/>
      <c r="L162" s="533"/>
      <c r="M162" s="533"/>
      <c r="N162" s="552"/>
      <c r="O162" s="549"/>
      <c r="P162" s="549"/>
      <c r="Q162" s="549"/>
      <c r="R162" s="549"/>
      <c r="S162" s="549"/>
      <c r="T162" s="549"/>
      <c r="U162" s="550"/>
      <c r="V162" s="550"/>
      <c r="W162" s="550"/>
      <c r="X162" s="550"/>
      <c r="Y162" s="551"/>
      <c r="Z162" s="551"/>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83">
        <v>159</v>
      </c>
      <c r="BB162" s="84">
        <f t="shared" si="58"/>
        <v>0</v>
      </c>
      <c r="BC162" s="85">
        <f t="shared" si="59"/>
        <v>0</v>
      </c>
      <c r="BD162" s="86">
        <f t="shared" si="57"/>
        <v>0</v>
      </c>
      <c r="BE162" s="86">
        <f t="shared" si="57"/>
        <v>0</v>
      </c>
      <c r="BF162" s="142"/>
      <c r="BG162" s="77"/>
      <c r="BH162" s="77"/>
      <c r="BI162" s="77"/>
      <c r="BJ162" s="77"/>
      <c r="BK162" s="77"/>
      <c r="BL162" s="77"/>
      <c r="BM162" s="77"/>
      <c r="BN162" s="77"/>
      <c r="BO162" s="77"/>
      <c r="BP162" s="77"/>
      <c r="BQ162" s="77"/>
      <c r="BR162" s="77"/>
      <c r="BS162" s="77"/>
      <c r="BT162" s="77"/>
      <c r="BU162" s="77"/>
      <c r="BV162" s="77"/>
      <c r="BW162" s="77"/>
      <c r="CF162" s="77"/>
      <c r="CI162" s="313"/>
      <c r="CJ162" s="313"/>
    </row>
    <row r="163" spans="1:88" ht="23.25">
      <c r="A163" s="1324" t="s">
        <v>476</v>
      </c>
      <c r="B163" s="1324"/>
      <c r="C163" s="1324"/>
      <c r="D163" s="1324"/>
      <c r="E163" s="1324"/>
      <c r="F163" s="1324"/>
      <c r="G163" s="1324"/>
      <c r="H163" s="1324"/>
      <c r="I163" s="1324"/>
      <c r="J163" s="1324"/>
      <c r="K163" s="1324"/>
      <c r="L163" s="1324"/>
      <c r="M163" s="1324"/>
      <c r="N163" s="1324"/>
      <c r="O163" s="1324"/>
      <c r="P163" s="1324"/>
      <c r="Q163" s="1324"/>
      <c r="R163" s="1324"/>
      <c r="S163" s="1324"/>
      <c r="T163" s="1324"/>
      <c r="U163" s="1324"/>
      <c r="V163" s="1324"/>
      <c r="W163" s="1324"/>
      <c r="X163" s="1324"/>
      <c r="Y163" s="1324"/>
      <c r="Z163" s="132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83">
        <v>160</v>
      </c>
      <c r="BB163" s="84">
        <f t="shared" si="58"/>
        <v>0</v>
      </c>
      <c r="BC163" s="85">
        <f t="shared" si="59"/>
        <v>0</v>
      </c>
      <c r="BD163" s="86">
        <f t="shared" si="57"/>
        <v>0</v>
      </c>
      <c r="BE163" s="86">
        <f t="shared" si="57"/>
        <v>0</v>
      </c>
    </row>
    <row r="164" spans="1:88" ht="24" thickBot="1">
      <c r="A164" s="534">
        <f>COUNTIFS(K175:K204,"a",H175:H204,"&gt;0")</f>
        <v>0</v>
      </c>
      <c r="B164" s="534">
        <f>COUNTIFS(X175:X204,"a",U175:U204,"&gt;0")</f>
        <v>0</v>
      </c>
      <c r="C164" s="534">
        <f>COUNTIFS(K175:K204,"b",H175:H204,"&gt;0")</f>
        <v>0</v>
      </c>
      <c r="D164" s="534">
        <f>COUNTIFS(X175:X204,"b",U175:U204,"&gt;0")</f>
        <v>0</v>
      </c>
      <c r="E164" s="534">
        <f>COUNTIFS(K175:K204,"c",H175:H204,"&gt;0")</f>
        <v>0</v>
      </c>
      <c r="F164" s="534">
        <f>COUNTIFS(X175:X204,"c",U175:U204,"&gt;0")</f>
        <v>0</v>
      </c>
      <c r="G164" s="534">
        <f>COUNTIFS(K175:K204,"d",H175:H204,"&gt;0")</f>
        <v>0</v>
      </c>
      <c r="H164" s="534">
        <f>COUNTIFS(X175:X204,"d",U175:U204,"&gt;0")</f>
        <v>0</v>
      </c>
      <c r="I164" s="534">
        <f>COUNTIFS(K175:K204,"e",H175:H204,"&gt;0")</f>
        <v>0</v>
      </c>
      <c r="J164" s="534">
        <f>COUNTIFS(X175:X204,"e",U175:U204,"&gt;0")</f>
        <v>0</v>
      </c>
      <c r="K164" s="534">
        <f>COUNTIFS(K175:K204,"f",H175:H204,"&gt;0")</f>
        <v>0</v>
      </c>
      <c r="L164" s="534">
        <f>COUNTIFS(X175:X204,"f",U175:U204,"&gt;0")</f>
        <v>0</v>
      </c>
      <c r="M164" s="534">
        <f>COUNTIFS(K175:K204,"g",H175:H204,"&gt;0")</f>
        <v>0</v>
      </c>
      <c r="N164" s="534">
        <f>COUNTIFS(X175:X204,"g",U175:U204,"&gt;0")</f>
        <v>0</v>
      </c>
      <c r="O164" s="534">
        <f>COUNTIFS(K175:K204,"h",H175:H204,"&gt;0")</f>
        <v>0</v>
      </c>
      <c r="P164" s="534">
        <f>COUNTIFS(X175:X204,"h",U175:U204,"&gt;0")</f>
        <v>0</v>
      </c>
      <c r="Q164" s="534">
        <f>COUNTIFS(K175:K204,"i",H175:H204,"&gt;0")</f>
        <v>0</v>
      </c>
      <c r="R164" s="534">
        <f>COUNTIFS(X175:X204,"i",U175:U204,"&gt;0")</f>
        <v>0</v>
      </c>
      <c r="S164" s="535">
        <f>SUM(A164:R164)</f>
        <v>0</v>
      </c>
      <c r="T164" s="535"/>
      <c r="U164" s="535"/>
      <c r="V164" s="535"/>
      <c r="W164" s="1906" t="s">
        <v>487</v>
      </c>
      <c r="X164" s="1906"/>
      <c r="Y164" s="1906">
        <v>5</v>
      </c>
      <c r="Z164" s="1906"/>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83">
        <v>161</v>
      </c>
      <c r="BB164" s="84">
        <f t="shared" si="58"/>
        <v>0</v>
      </c>
      <c r="BC164" s="85">
        <f t="shared" si="59"/>
        <v>0</v>
      </c>
      <c r="BD164" s="86">
        <f t="shared" si="57"/>
        <v>0</v>
      </c>
      <c r="BE164" s="86">
        <f t="shared" si="57"/>
        <v>0</v>
      </c>
    </row>
    <row r="165" spans="1:88" s="55" customFormat="1" ht="23.25">
      <c r="A165" s="534">
        <f>COUNTIFS(K175:K204,"a",I175:I204,"&gt;0")</f>
        <v>0</v>
      </c>
      <c r="B165" s="534">
        <f>COUNTIFS(X175:X204,"a",V175:V204,"&gt;0")</f>
        <v>0</v>
      </c>
      <c r="C165" s="534">
        <f>COUNTIFS(K175:K204,"b",I175:I204,"&gt;0")</f>
        <v>0</v>
      </c>
      <c r="D165" s="534">
        <f>COUNTIFS(X175:X204,"b",V175:V204,"&gt;0")</f>
        <v>0</v>
      </c>
      <c r="E165" s="534">
        <f>COUNTIFS(K175:K204,"c",I175:I204,"&gt;0")</f>
        <v>0</v>
      </c>
      <c r="F165" s="534">
        <f>COUNTIFS(X175:X204,"c",V175:V204,"&gt;0")</f>
        <v>0</v>
      </c>
      <c r="G165" s="534">
        <f>COUNTIFS(K175:K204,"d",I175:I204,"&gt;0")</f>
        <v>0</v>
      </c>
      <c r="H165" s="534">
        <f>COUNTIFS(X175:X204,"d",V175:V204,"&gt;0")</f>
        <v>0</v>
      </c>
      <c r="I165" s="534">
        <f>COUNTIFS(K175:K204,"e",I175:I204,"&gt;0")</f>
        <v>0</v>
      </c>
      <c r="J165" s="534">
        <f>COUNTIFS(X175:X204,"e",V175:V204,"&gt;0")</f>
        <v>0</v>
      </c>
      <c r="K165" s="534">
        <f>COUNTIFS(K175:K204,"f",I175:I204,"&gt;0")</f>
        <v>0</v>
      </c>
      <c r="L165" s="534">
        <f>COUNTIFS(X175:X204,"f",V175:V204,"&gt;0")</f>
        <v>0</v>
      </c>
      <c r="M165" s="534">
        <f>COUNTIFS(K175:K204,"g",I175:I204,"&gt;0")</f>
        <v>0</v>
      </c>
      <c r="N165" s="534">
        <f>COUNTIFS(X175:X204,"g",V175:V204,"&gt;0")</f>
        <v>0</v>
      </c>
      <c r="O165" s="534">
        <f>COUNTIFS(K175:K204,"h",I175:I204,"&gt;0")</f>
        <v>0</v>
      </c>
      <c r="P165" s="534">
        <f>COUNTIFS(X175:X204,"h",V175:V204,"&gt;0")</f>
        <v>0</v>
      </c>
      <c r="Q165" s="534">
        <f>COUNTIFS(K175:K204,"i",I175:I204,"&gt;0")</f>
        <v>0</v>
      </c>
      <c r="R165" s="534">
        <f>COUNTIFS(X175:X204,"i",V175:V204,"&gt;0")</f>
        <v>0</v>
      </c>
      <c r="S165" s="535">
        <f>SUM(A165:R165)</f>
        <v>0</v>
      </c>
      <c r="T165" s="535"/>
      <c r="U165" s="535"/>
      <c r="V165" s="535"/>
      <c r="W165" s="536"/>
      <c r="X165" s="536"/>
      <c r="Y165" s="536"/>
      <c r="Z165" s="536"/>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83">
        <v>162</v>
      </c>
      <c r="BB165" s="84">
        <f t="shared" si="58"/>
        <v>0</v>
      </c>
      <c r="BC165" s="85">
        <f t="shared" si="59"/>
        <v>0</v>
      </c>
      <c r="BD165" s="86">
        <f t="shared" si="57"/>
        <v>0</v>
      </c>
      <c r="BE165" s="86">
        <f t="shared" si="57"/>
        <v>0</v>
      </c>
      <c r="BF165" s="142"/>
      <c r="BG165" s="77"/>
      <c r="BH165" s="77"/>
      <c r="BI165" s="77"/>
      <c r="BJ165" s="77"/>
      <c r="BK165" s="77"/>
      <c r="BL165" s="77"/>
      <c r="BM165" s="77"/>
      <c r="BN165" s="77"/>
      <c r="BO165" s="77"/>
      <c r="BP165" s="77"/>
      <c r="BQ165" s="77"/>
      <c r="BR165" s="77"/>
      <c r="BS165" s="77"/>
      <c r="BT165" s="77"/>
      <c r="BU165" s="77"/>
      <c r="BV165" s="77"/>
      <c r="BW165" s="77"/>
      <c r="CF165" s="77"/>
      <c r="CI165" s="313"/>
      <c r="CJ165" s="313"/>
    </row>
    <row r="166" spans="1:88" ht="36" customHeight="1">
      <c r="A166" s="1902" t="s">
        <v>87</v>
      </c>
      <c r="B166" s="1902"/>
      <c r="C166" s="1903">
        <f>C4</f>
        <v>0</v>
      </c>
      <c r="D166" s="1903"/>
      <c r="E166" s="1903"/>
      <c r="F166" s="1903"/>
      <c r="G166" s="1903"/>
      <c r="H166" s="1903"/>
      <c r="I166" s="1903"/>
      <c r="J166" s="1903"/>
      <c r="K166" s="1903"/>
      <c r="L166" s="1903"/>
      <c r="M166" s="1903"/>
      <c r="N166" s="1903"/>
      <c r="O166" s="1903"/>
      <c r="P166" s="1903"/>
      <c r="Q166" s="1903"/>
      <c r="R166" s="1903"/>
      <c r="S166" s="1903"/>
      <c r="T166" s="1903"/>
      <c r="U166" s="522"/>
      <c r="V166" s="522"/>
      <c r="W166" s="522"/>
      <c r="X166" s="522"/>
      <c r="Y166" s="522"/>
      <c r="Z166" s="522"/>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83">
        <v>163</v>
      </c>
      <c r="BB166" s="84">
        <f t="shared" si="58"/>
        <v>0</v>
      </c>
      <c r="BC166" s="85">
        <f t="shared" si="59"/>
        <v>0</v>
      </c>
      <c r="BD166" s="86">
        <f t="shared" si="57"/>
        <v>0</v>
      </c>
      <c r="BE166" s="86">
        <f t="shared" si="57"/>
        <v>0</v>
      </c>
    </row>
    <row r="167" spans="1:88" ht="15" customHeight="1">
      <c r="A167" s="1922" t="s">
        <v>86</v>
      </c>
      <c r="B167" s="1922"/>
      <c r="C167" s="1925">
        <f>C5</f>
        <v>0</v>
      </c>
      <c r="D167" s="1925"/>
      <c r="E167" s="1875" t="s">
        <v>18</v>
      </c>
      <c r="F167" s="1925">
        <f>F5</f>
        <v>0</v>
      </c>
      <c r="G167" s="1875" t="s">
        <v>17</v>
      </c>
      <c r="H167" s="1926">
        <f>H5</f>
        <v>0</v>
      </c>
      <c r="I167" s="1875" t="s">
        <v>16</v>
      </c>
      <c r="J167" s="1875" t="s">
        <v>460</v>
      </c>
      <c r="K167" s="1926">
        <f>K5</f>
        <v>0</v>
      </c>
      <c r="L167" s="1875" t="s">
        <v>463</v>
      </c>
      <c r="M167" s="1875" t="s">
        <v>465</v>
      </c>
      <c r="N167" s="1926">
        <f>N5</f>
        <v>0</v>
      </c>
      <c r="O167" s="1875" t="s">
        <v>17</v>
      </c>
      <c r="P167" s="1926">
        <f>P5</f>
        <v>0</v>
      </c>
      <c r="Q167" s="1875" t="s">
        <v>16</v>
      </c>
      <c r="R167" s="1875" t="s">
        <v>460</v>
      </c>
      <c r="S167" s="1926">
        <f>S5</f>
        <v>0</v>
      </c>
      <c r="T167" s="1875" t="s">
        <v>42</v>
      </c>
      <c r="U167" s="1875"/>
      <c r="V167" s="1875"/>
      <c r="W167" s="537">
        <f>W124</f>
        <v>0</v>
      </c>
      <c r="X167" s="511" t="s">
        <v>51</v>
      </c>
      <c r="Y167" s="537">
        <f>Y124</f>
        <v>0</v>
      </c>
      <c r="Z167" s="511" t="s">
        <v>16</v>
      </c>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83">
        <v>164</v>
      </c>
      <c r="BB167" s="84">
        <f t="shared" si="58"/>
        <v>0</v>
      </c>
      <c r="BC167" s="85">
        <f t="shared" si="59"/>
        <v>0</v>
      </c>
      <c r="BD167" s="86">
        <f t="shared" si="57"/>
        <v>0</v>
      </c>
      <c r="BE167" s="86">
        <f t="shared" si="57"/>
        <v>0</v>
      </c>
    </row>
    <row r="168" spans="1:88" ht="15" customHeight="1">
      <c r="A168" s="1902"/>
      <c r="B168" s="1902"/>
      <c r="C168" s="1903"/>
      <c r="D168" s="1903"/>
      <c r="E168" s="1420"/>
      <c r="F168" s="1903"/>
      <c r="G168" s="1420"/>
      <c r="H168" s="1903"/>
      <c r="I168" s="1420"/>
      <c r="J168" s="1420"/>
      <c r="K168" s="1903"/>
      <c r="L168" s="1420"/>
      <c r="M168" s="1420"/>
      <c r="N168" s="1903"/>
      <c r="O168" s="1420"/>
      <c r="P168" s="1903"/>
      <c r="Q168" s="1420"/>
      <c r="R168" s="1420"/>
      <c r="S168" s="1903"/>
      <c r="T168" s="1420"/>
      <c r="U168" s="1875"/>
      <c r="V168" s="1875"/>
      <c r="W168" s="1875" t="s">
        <v>52</v>
      </c>
      <c r="X168" s="1875"/>
      <c r="Y168" s="539" t="str">
        <f>Y125</f>
        <v/>
      </c>
      <c r="Z168" s="511" t="s">
        <v>16</v>
      </c>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83">
        <v>165</v>
      </c>
      <c r="BB168" s="84">
        <f t="shared" si="58"/>
        <v>0</v>
      </c>
      <c r="BC168" s="85">
        <f t="shared" si="59"/>
        <v>0</v>
      </c>
      <c r="BD168" s="86">
        <f t="shared" si="57"/>
        <v>0</v>
      </c>
      <c r="BE168" s="86">
        <f t="shared" si="57"/>
        <v>0</v>
      </c>
    </row>
    <row r="169" spans="1:88" ht="24.95" customHeight="1">
      <c r="A169" s="540"/>
      <c r="B169" s="540"/>
      <c r="C169" s="540"/>
      <c r="D169" s="540"/>
      <c r="E169" s="540"/>
      <c r="F169" s="540"/>
      <c r="G169" s="540"/>
      <c r="H169" s="540"/>
      <c r="I169" s="540"/>
      <c r="J169" s="540"/>
      <c r="K169" s="540"/>
      <c r="L169" s="540"/>
      <c r="M169" s="540"/>
      <c r="N169" s="540"/>
      <c r="O169" s="540"/>
      <c r="P169" s="540"/>
      <c r="Q169" s="540"/>
      <c r="R169" s="540"/>
      <c r="S169" s="540"/>
      <c r="T169" s="540"/>
      <c r="U169" s="541"/>
      <c r="V169" s="541"/>
      <c r="W169" s="541"/>
      <c r="X169" s="541"/>
      <c r="Y169" s="541"/>
      <c r="Z169" s="541"/>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83">
        <v>166</v>
      </c>
      <c r="BB169" s="84">
        <f t="shared" si="58"/>
        <v>0</v>
      </c>
      <c r="BC169" s="85">
        <f t="shared" si="59"/>
        <v>0</v>
      </c>
      <c r="BD169" s="86">
        <f t="shared" si="57"/>
        <v>0</v>
      </c>
      <c r="BE169" s="86">
        <f t="shared" si="57"/>
        <v>0</v>
      </c>
    </row>
    <row r="170" spans="1:88" ht="13.5" customHeight="1">
      <c r="A170" s="1855" t="s">
        <v>480</v>
      </c>
      <c r="B170" s="1883" t="s">
        <v>166</v>
      </c>
      <c r="C170" s="1884"/>
      <c r="D170" s="1884"/>
      <c r="E170" s="1884"/>
      <c r="F170" s="1884"/>
      <c r="G170" s="1898"/>
      <c r="H170" s="1911" t="s">
        <v>167</v>
      </c>
      <c r="I170" s="1898"/>
      <c r="J170" s="1883" t="s">
        <v>168</v>
      </c>
      <c r="K170" s="1884"/>
      <c r="L170" s="1884"/>
      <c r="M170" s="1885"/>
      <c r="N170" s="1930" t="s">
        <v>480</v>
      </c>
      <c r="O170" s="1883" t="s">
        <v>166</v>
      </c>
      <c r="P170" s="1884"/>
      <c r="Q170" s="1884"/>
      <c r="R170" s="1884"/>
      <c r="S170" s="1884"/>
      <c r="T170" s="1898"/>
      <c r="U170" s="1911" t="s">
        <v>167</v>
      </c>
      <c r="V170" s="1898"/>
      <c r="W170" s="1883" t="s">
        <v>168</v>
      </c>
      <c r="X170" s="1884"/>
      <c r="Y170" s="1884"/>
      <c r="Z170" s="1885"/>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83">
        <v>167</v>
      </c>
      <c r="BB170" s="84">
        <f t="shared" si="58"/>
        <v>0</v>
      </c>
      <c r="BC170" s="85">
        <f t="shared" si="59"/>
        <v>0</v>
      </c>
      <c r="BD170" s="86">
        <f t="shared" si="57"/>
        <v>0</v>
      </c>
      <c r="BE170" s="86">
        <f t="shared" si="57"/>
        <v>0</v>
      </c>
    </row>
    <row r="171" spans="1:88">
      <c r="A171" s="1855"/>
      <c r="B171" s="1913"/>
      <c r="C171" s="1914"/>
      <c r="D171" s="1914"/>
      <c r="E171" s="1914"/>
      <c r="F171" s="1914"/>
      <c r="G171" s="1915"/>
      <c r="H171" s="1886"/>
      <c r="I171" s="1899"/>
      <c r="J171" s="1886"/>
      <c r="K171" s="1887"/>
      <c r="L171" s="1887"/>
      <c r="M171" s="1888"/>
      <c r="N171" s="1931"/>
      <c r="O171" s="1913"/>
      <c r="P171" s="1914"/>
      <c r="Q171" s="1914"/>
      <c r="R171" s="1914"/>
      <c r="S171" s="1914"/>
      <c r="T171" s="1915"/>
      <c r="U171" s="1886"/>
      <c r="V171" s="1899"/>
      <c r="W171" s="1886"/>
      <c r="X171" s="1887"/>
      <c r="Y171" s="1887"/>
      <c r="Z171" s="1888"/>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83">
        <v>168</v>
      </c>
      <c r="BB171" s="84">
        <f t="shared" si="58"/>
        <v>0</v>
      </c>
      <c r="BC171" s="85">
        <f t="shared" si="59"/>
        <v>0</v>
      </c>
      <c r="BD171" s="86">
        <f t="shared" si="57"/>
        <v>0</v>
      </c>
      <c r="BE171" s="86">
        <f t="shared" si="57"/>
        <v>0</v>
      </c>
    </row>
    <row r="172" spans="1:88" ht="26.1" customHeight="1">
      <c r="A172" s="1855"/>
      <c r="B172" s="1913"/>
      <c r="C172" s="1914"/>
      <c r="D172" s="1914"/>
      <c r="E172" s="1914"/>
      <c r="F172" s="1914"/>
      <c r="G172" s="1915"/>
      <c r="H172" s="1924" t="s">
        <v>53</v>
      </c>
      <c r="I172" s="1912" t="s">
        <v>52</v>
      </c>
      <c r="J172" s="1904" t="s">
        <v>543</v>
      </c>
      <c r="K172" s="1889" t="s">
        <v>542</v>
      </c>
      <c r="L172" s="1890"/>
      <c r="M172" s="1891"/>
      <c r="N172" s="1931"/>
      <c r="O172" s="1913"/>
      <c r="P172" s="1914"/>
      <c r="Q172" s="1914"/>
      <c r="R172" s="1914"/>
      <c r="S172" s="1914"/>
      <c r="T172" s="1915"/>
      <c r="U172" s="1924" t="s">
        <v>53</v>
      </c>
      <c r="V172" s="1912" t="s">
        <v>52</v>
      </c>
      <c r="W172" s="1904" t="s">
        <v>543</v>
      </c>
      <c r="X172" s="1889" t="s">
        <v>542</v>
      </c>
      <c r="Y172" s="1890"/>
      <c r="Z172" s="1891"/>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83">
        <v>169</v>
      </c>
      <c r="BB172" s="84">
        <f t="shared" si="58"/>
        <v>0</v>
      </c>
      <c r="BC172" s="85">
        <f t="shared" si="59"/>
        <v>0</v>
      </c>
      <c r="BD172" s="86">
        <f t="shared" si="57"/>
        <v>0</v>
      </c>
      <c r="BE172" s="86">
        <f t="shared" si="57"/>
        <v>0</v>
      </c>
    </row>
    <row r="173" spans="1:88" ht="26.1" customHeight="1">
      <c r="A173" s="1855"/>
      <c r="B173" s="1913"/>
      <c r="C173" s="1914"/>
      <c r="D173" s="1914"/>
      <c r="E173" s="1914"/>
      <c r="F173" s="1914"/>
      <c r="G173" s="1915"/>
      <c r="H173" s="1924"/>
      <c r="I173" s="1912"/>
      <c r="J173" s="1905"/>
      <c r="K173" s="1889"/>
      <c r="L173" s="1890"/>
      <c r="M173" s="1891"/>
      <c r="N173" s="1931"/>
      <c r="O173" s="1913"/>
      <c r="P173" s="1914"/>
      <c r="Q173" s="1914"/>
      <c r="R173" s="1914"/>
      <c r="S173" s="1914"/>
      <c r="T173" s="1915"/>
      <c r="U173" s="1924"/>
      <c r="V173" s="1912"/>
      <c r="W173" s="1905"/>
      <c r="X173" s="1889"/>
      <c r="Y173" s="1890"/>
      <c r="Z173" s="1891"/>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83">
        <v>170</v>
      </c>
      <c r="BB173" s="84">
        <f t="shared" si="58"/>
        <v>0</v>
      </c>
      <c r="BC173" s="85">
        <f t="shared" si="59"/>
        <v>0</v>
      </c>
      <c r="BD173" s="86">
        <f t="shared" si="57"/>
        <v>0</v>
      </c>
      <c r="BE173" s="86">
        <f t="shared" si="57"/>
        <v>0</v>
      </c>
    </row>
    <row r="174" spans="1:88" ht="26.1" customHeight="1">
      <c r="A174" s="1855"/>
      <c r="B174" s="1886"/>
      <c r="C174" s="1887"/>
      <c r="D174" s="1887"/>
      <c r="E174" s="1887"/>
      <c r="F174" s="1887"/>
      <c r="G174" s="1899"/>
      <c r="H174" s="1924"/>
      <c r="I174" s="1912"/>
      <c r="J174" s="1905"/>
      <c r="K174" s="1892"/>
      <c r="L174" s="1893"/>
      <c r="M174" s="1894"/>
      <c r="N174" s="1932"/>
      <c r="O174" s="1886"/>
      <c r="P174" s="1887"/>
      <c r="Q174" s="1887"/>
      <c r="R174" s="1887"/>
      <c r="S174" s="1887"/>
      <c r="T174" s="1899"/>
      <c r="U174" s="1924"/>
      <c r="V174" s="1912"/>
      <c r="W174" s="1905"/>
      <c r="X174" s="1892"/>
      <c r="Y174" s="1893"/>
      <c r="Z174" s="1894"/>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83">
        <v>171</v>
      </c>
      <c r="BB174" s="84">
        <f>COUNTA(U132:V132)</f>
        <v>0</v>
      </c>
      <c r="BC174" s="85">
        <f>COUNTA(X132)</f>
        <v>0</v>
      </c>
      <c r="BD174" s="86">
        <f t="shared" ref="BD174:BE203" si="60">BB174-COUNTA(H132)</f>
        <v>0</v>
      </c>
      <c r="BE174" s="86">
        <f t="shared" si="60"/>
        <v>0</v>
      </c>
      <c r="BF174" s="194" t="s">
        <v>1370</v>
      </c>
      <c r="BG174" s="211" t="s">
        <v>1371</v>
      </c>
      <c r="BH174" s="211" t="s">
        <v>1372</v>
      </c>
      <c r="BI174" s="211" t="s">
        <v>1369</v>
      </c>
      <c r="BJ174" s="194" t="s">
        <v>1370</v>
      </c>
      <c r="BK174" s="211" t="s">
        <v>1371</v>
      </c>
      <c r="BL174" s="211" t="s">
        <v>1372</v>
      </c>
      <c r="BM174" s="211" t="s">
        <v>1369</v>
      </c>
    </row>
    <row r="175" spans="1:88" ht="24.95" customHeight="1">
      <c r="A175" s="542">
        <v>201</v>
      </c>
      <c r="B175" s="1907"/>
      <c r="C175" s="1908"/>
      <c r="D175" s="1908"/>
      <c r="E175" s="1908"/>
      <c r="F175" s="1908"/>
      <c r="G175" s="1909"/>
      <c r="H175" s="543"/>
      <c r="I175" s="544"/>
      <c r="J175" s="545"/>
      <c r="K175" s="1895"/>
      <c r="L175" s="1896"/>
      <c r="M175" s="1897"/>
      <c r="N175" s="547">
        <v>231</v>
      </c>
      <c r="O175" s="1907"/>
      <c r="P175" s="1908"/>
      <c r="Q175" s="1908"/>
      <c r="R175" s="1908"/>
      <c r="S175" s="1908"/>
      <c r="T175" s="1909"/>
      <c r="U175" s="543"/>
      <c r="V175" s="544"/>
      <c r="W175" s="545"/>
      <c r="X175" s="1895"/>
      <c r="Y175" s="1896"/>
      <c r="Z175" s="1897"/>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83">
        <v>172</v>
      </c>
      <c r="BB175" s="84">
        <f t="shared" ref="BB175:BB203" si="61">COUNTA(U133:V133)</f>
        <v>0</v>
      </c>
      <c r="BC175" s="85">
        <f t="shared" ref="BC175:BC203" si="62">COUNTA(X133)</f>
        <v>0</v>
      </c>
      <c r="BD175" s="86">
        <f t="shared" si="60"/>
        <v>0</v>
      </c>
      <c r="BE175" s="86">
        <f t="shared" si="60"/>
        <v>0</v>
      </c>
      <c r="BF175" s="194">
        <v>201</v>
      </c>
      <c r="BG175" s="192">
        <f>H175</f>
        <v>0</v>
      </c>
      <c r="BH175" s="192">
        <f>I175</f>
        <v>0</v>
      </c>
      <c r="BI175" s="192" t="b">
        <v>0</v>
      </c>
      <c r="BJ175" s="212">
        <v>231</v>
      </c>
      <c r="BK175" s="192"/>
      <c r="BL175" s="192"/>
      <c r="BM175" s="192" t="b">
        <v>0</v>
      </c>
    </row>
    <row r="176" spans="1:88" ht="24.95" customHeight="1">
      <c r="A176" s="542">
        <v>202</v>
      </c>
      <c r="B176" s="1907"/>
      <c r="C176" s="1908"/>
      <c r="D176" s="1908"/>
      <c r="E176" s="1908"/>
      <c r="F176" s="1908"/>
      <c r="G176" s="1909"/>
      <c r="H176" s="543"/>
      <c r="I176" s="544"/>
      <c r="J176" s="545"/>
      <c r="K176" s="1895"/>
      <c r="L176" s="1896"/>
      <c r="M176" s="1897"/>
      <c r="N176" s="547">
        <v>232</v>
      </c>
      <c r="O176" s="1907"/>
      <c r="P176" s="1908"/>
      <c r="Q176" s="1908"/>
      <c r="R176" s="1908"/>
      <c r="S176" s="1908"/>
      <c r="T176" s="1909"/>
      <c r="U176" s="543"/>
      <c r="V176" s="544"/>
      <c r="W176" s="545"/>
      <c r="X176" s="1895"/>
      <c r="Y176" s="1896"/>
      <c r="Z176" s="1897"/>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83">
        <v>173</v>
      </c>
      <c r="BB176" s="84">
        <f t="shared" si="61"/>
        <v>0</v>
      </c>
      <c r="BC176" s="85">
        <f t="shared" si="62"/>
        <v>0</v>
      </c>
      <c r="BD176" s="86">
        <f t="shared" si="60"/>
        <v>0</v>
      </c>
      <c r="BE176" s="86">
        <f t="shared" si="60"/>
        <v>0</v>
      </c>
      <c r="BF176" s="194">
        <v>202</v>
      </c>
      <c r="BG176" s="192">
        <f t="shared" ref="BG176:BG204" si="63">H176</f>
        <v>0</v>
      </c>
      <c r="BH176" s="192">
        <f t="shared" ref="BH176:BH204" si="64">I176</f>
        <v>0</v>
      </c>
      <c r="BI176" s="192" t="b">
        <v>0</v>
      </c>
      <c r="BJ176" s="212">
        <v>232</v>
      </c>
      <c r="BK176" s="192"/>
      <c r="BL176" s="192"/>
      <c r="BM176" s="192" t="b">
        <v>0</v>
      </c>
    </row>
    <row r="177" spans="1:65" ht="24.95" customHeight="1">
      <c r="A177" s="542">
        <v>203</v>
      </c>
      <c r="B177" s="1907"/>
      <c r="C177" s="1908"/>
      <c r="D177" s="1908"/>
      <c r="E177" s="1908"/>
      <c r="F177" s="1908"/>
      <c r="G177" s="1909"/>
      <c r="H177" s="543"/>
      <c r="I177" s="544"/>
      <c r="J177" s="545"/>
      <c r="K177" s="1895"/>
      <c r="L177" s="1896"/>
      <c r="M177" s="1897"/>
      <c r="N177" s="547">
        <v>233</v>
      </c>
      <c r="O177" s="1907"/>
      <c r="P177" s="1908"/>
      <c r="Q177" s="1908"/>
      <c r="R177" s="1908"/>
      <c r="S177" s="1908"/>
      <c r="T177" s="1909"/>
      <c r="U177" s="543"/>
      <c r="V177" s="544"/>
      <c r="W177" s="545"/>
      <c r="X177" s="1895"/>
      <c r="Y177" s="1896"/>
      <c r="Z177" s="1897"/>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83">
        <v>174</v>
      </c>
      <c r="BB177" s="84">
        <f t="shared" si="61"/>
        <v>0</v>
      </c>
      <c r="BC177" s="85">
        <f t="shared" si="62"/>
        <v>0</v>
      </c>
      <c r="BD177" s="86">
        <f t="shared" si="60"/>
        <v>0</v>
      </c>
      <c r="BE177" s="86">
        <f t="shared" si="60"/>
        <v>0</v>
      </c>
      <c r="BF177" s="194">
        <v>203</v>
      </c>
      <c r="BG177" s="192">
        <f t="shared" si="63"/>
        <v>0</v>
      </c>
      <c r="BH177" s="192">
        <f t="shared" si="64"/>
        <v>0</v>
      </c>
      <c r="BI177" s="192" t="b">
        <v>0</v>
      </c>
      <c r="BJ177" s="212">
        <v>233</v>
      </c>
      <c r="BK177" s="192"/>
      <c r="BL177" s="192"/>
      <c r="BM177" s="192" t="b">
        <v>0</v>
      </c>
    </row>
    <row r="178" spans="1:65" ht="24.95" customHeight="1">
      <c r="A178" s="542">
        <v>204</v>
      </c>
      <c r="B178" s="1907"/>
      <c r="C178" s="1908"/>
      <c r="D178" s="1908"/>
      <c r="E178" s="1908"/>
      <c r="F178" s="1908"/>
      <c r="G178" s="1909"/>
      <c r="H178" s="543"/>
      <c r="I178" s="544"/>
      <c r="J178" s="545"/>
      <c r="K178" s="1895"/>
      <c r="L178" s="1896"/>
      <c r="M178" s="1897"/>
      <c r="N178" s="547">
        <v>234</v>
      </c>
      <c r="O178" s="1907"/>
      <c r="P178" s="1908"/>
      <c r="Q178" s="1908"/>
      <c r="R178" s="1908"/>
      <c r="S178" s="1908"/>
      <c r="T178" s="1909"/>
      <c r="U178" s="543"/>
      <c r="V178" s="544"/>
      <c r="W178" s="545"/>
      <c r="X178" s="1895"/>
      <c r="Y178" s="1896"/>
      <c r="Z178" s="1897"/>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83">
        <v>175</v>
      </c>
      <c r="BB178" s="84">
        <f t="shared" si="61"/>
        <v>0</v>
      </c>
      <c r="BC178" s="85">
        <f t="shared" si="62"/>
        <v>0</v>
      </c>
      <c r="BD178" s="86">
        <f t="shared" si="60"/>
        <v>0</v>
      </c>
      <c r="BE178" s="86">
        <f t="shared" si="60"/>
        <v>0</v>
      </c>
      <c r="BF178" s="194">
        <v>204</v>
      </c>
      <c r="BG178" s="192">
        <f t="shared" si="63"/>
        <v>0</v>
      </c>
      <c r="BH178" s="192">
        <f t="shared" si="64"/>
        <v>0</v>
      </c>
      <c r="BI178" s="192" t="b">
        <v>0</v>
      </c>
      <c r="BJ178" s="212">
        <v>234</v>
      </c>
      <c r="BK178" s="192"/>
      <c r="BL178" s="192"/>
      <c r="BM178" s="192" t="b">
        <v>0</v>
      </c>
    </row>
    <row r="179" spans="1:65" ht="24.95" customHeight="1">
      <c r="A179" s="542">
        <v>205</v>
      </c>
      <c r="B179" s="1907"/>
      <c r="C179" s="1908"/>
      <c r="D179" s="1908"/>
      <c r="E179" s="1908"/>
      <c r="F179" s="1908"/>
      <c r="G179" s="1909"/>
      <c r="H179" s="543"/>
      <c r="I179" s="544"/>
      <c r="J179" s="545"/>
      <c r="K179" s="1895"/>
      <c r="L179" s="1896"/>
      <c r="M179" s="1897"/>
      <c r="N179" s="547">
        <v>235</v>
      </c>
      <c r="O179" s="1907"/>
      <c r="P179" s="1908"/>
      <c r="Q179" s="1908"/>
      <c r="R179" s="1908"/>
      <c r="S179" s="1908"/>
      <c r="T179" s="1909"/>
      <c r="U179" s="543"/>
      <c r="V179" s="544"/>
      <c r="W179" s="545"/>
      <c r="X179" s="1895"/>
      <c r="Y179" s="1896"/>
      <c r="Z179" s="1897"/>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83">
        <v>176</v>
      </c>
      <c r="BB179" s="84">
        <f t="shared" si="61"/>
        <v>0</v>
      </c>
      <c r="BC179" s="85">
        <f t="shared" si="62"/>
        <v>0</v>
      </c>
      <c r="BD179" s="86">
        <f t="shared" si="60"/>
        <v>0</v>
      </c>
      <c r="BE179" s="86">
        <f t="shared" si="60"/>
        <v>0</v>
      </c>
      <c r="BF179" s="194">
        <v>205</v>
      </c>
      <c r="BG179" s="192">
        <f t="shared" si="63"/>
        <v>0</v>
      </c>
      <c r="BH179" s="192">
        <f t="shared" si="64"/>
        <v>0</v>
      </c>
      <c r="BI179" s="192" t="b">
        <v>0</v>
      </c>
      <c r="BJ179" s="212">
        <v>235</v>
      </c>
      <c r="BK179" s="192"/>
      <c r="BL179" s="192"/>
      <c r="BM179" s="192" t="b">
        <v>0</v>
      </c>
    </row>
    <row r="180" spans="1:65" ht="24.95" customHeight="1">
      <c r="A180" s="542">
        <v>206</v>
      </c>
      <c r="B180" s="1907"/>
      <c r="C180" s="1908"/>
      <c r="D180" s="1908"/>
      <c r="E180" s="1908"/>
      <c r="F180" s="1908"/>
      <c r="G180" s="1909"/>
      <c r="H180" s="543"/>
      <c r="I180" s="544"/>
      <c r="J180" s="545"/>
      <c r="K180" s="1895"/>
      <c r="L180" s="1896"/>
      <c r="M180" s="1897"/>
      <c r="N180" s="547">
        <v>236</v>
      </c>
      <c r="O180" s="1907"/>
      <c r="P180" s="1908"/>
      <c r="Q180" s="1908"/>
      <c r="R180" s="1908"/>
      <c r="S180" s="1908"/>
      <c r="T180" s="1909"/>
      <c r="U180" s="543"/>
      <c r="V180" s="544"/>
      <c r="W180" s="545"/>
      <c r="X180" s="1895"/>
      <c r="Y180" s="1896"/>
      <c r="Z180" s="1897"/>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83">
        <v>177</v>
      </c>
      <c r="BB180" s="84">
        <f t="shared" si="61"/>
        <v>0</v>
      </c>
      <c r="BC180" s="85">
        <f t="shared" si="62"/>
        <v>0</v>
      </c>
      <c r="BD180" s="86">
        <f t="shared" si="60"/>
        <v>0</v>
      </c>
      <c r="BE180" s="86">
        <f t="shared" si="60"/>
        <v>0</v>
      </c>
      <c r="BF180" s="194">
        <v>206</v>
      </c>
      <c r="BG180" s="192">
        <f t="shared" si="63"/>
        <v>0</v>
      </c>
      <c r="BH180" s="192">
        <f t="shared" si="64"/>
        <v>0</v>
      </c>
      <c r="BI180" s="192" t="b">
        <v>0</v>
      </c>
      <c r="BJ180" s="212">
        <v>236</v>
      </c>
      <c r="BK180" s="192"/>
      <c r="BL180" s="192"/>
      <c r="BM180" s="192" t="b">
        <v>0</v>
      </c>
    </row>
    <row r="181" spans="1:65" ht="24.95" customHeight="1">
      <c r="A181" s="542">
        <v>207</v>
      </c>
      <c r="B181" s="1907"/>
      <c r="C181" s="1908"/>
      <c r="D181" s="1908"/>
      <c r="E181" s="1908"/>
      <c r="F181" s="1908"/>
      <c r="G181" s="1909"/>
      <c r="H181" s="543"/>
      <c r="I181" s="544"/>
      <c r="J181" s="545"/>
      <c r="K181" s="1895"/>
      <c r="L181" s="1896"/>
      <c r="M181" s="1897"/>
      <c r="N181" s="547">
        <v>237</v>
      </c>
      <c r="O181" s="1907"/>
      <c r="P181" s="1908"/>
      <c r="Q181" s="1908"/>
      <c r="R181" s="1908"/>
      <c r="S181" s="1908"/>
      <c r="T181" s="1909"/>
      <c r="U181" s="543"/>
      <c r="V181" s="544"/>
      <c r="W181" s="545"/>
      <c r="X181" s="1895"/>
      <c r="Y181" s="1896"/>
      <c r="Z181" s="1897"/>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83">
        <v>178</v>
      </c>
      <c r="BB181" s="84">
        <f t="shared" si="61"/>
        <v>0</v>
      </c>
      <c r="BC181" s="85">
        <f t="shared" si="62"/>
        <v>0</v>
      </c>
      <c r="BD181" s="86">
        <f t="shared" si="60"/>
        <v>0</v>
      </c>
      <c r="BE181" s="86">
        <f t="shared" si="60"/>
        <v>0</v>
      </c>
      <c r="BF181" s="194">
        <v>207</v>
      </c>
      <c r="BG181" s="192">
        <f t="shared" si="63"/>
        <v>0</v>
      </c>
      <c r="BH181" s="192">
        <f t="shared" si="64"/>
        <v>0</v>
      </c>
      <c r="BI181" s="192" t="b">
        <v>0</v>
      </c>
      <c r="BJ181" s="212">
        <v>237</v>
      </c>
      <c r="BK181" s="192"/>
      <c r="BL181" s="192"/>
      <c r="BM181" s="192" t="b">
        <v>0</v>
      </c>
    </row>
    <row r="182" spans="1:65" ht="24.95" customHeight="1">
      <c r="A182" s="542">
        <v>208</v>
      </c>
      <c r="B182" s="1907"/>
      <c r="C182" s="1908"/>
      <c r="D182" s="1908"/>
      <c r="E182" s="1908"/>
      <c r="F182" s="1908"/>
      <c r="G182" s="1909"/>
      <c r="H182" s="543"/>
      <c r="I182" s="544"/>
      <c r="J182" s="545"/>
      <c r="K182" s="1895"/>
      <c r="L182" s="1896"/>
      <c r="M182" s="1897"/>
      <c r="N182" s="547">
        <v>238</v>
      </c>
      <c r="O182" s="1907"/>
      <c r="P182" s="1908"/>
      <c r="Q182" s="1908"/>
      <c r="R182" s="1908"/>
      <c r="S182" s="1908"/>
      <c r="T182" s="1909"/>
      <c r="U182" s="543"/>
      <c r="V182" s="544"/>
      <c r="W182" s="545"/>
      <c r="X182" s="1895"/>
      <c r="Y182" s="1896"/>
      <c r="Z182" s="1897"/>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83">
        <v>179</v>
      </c>
      <c r="BB182" s="84">
        <f t="shared" si="61"/>
        <v>0</v>
      </c>
      <c r="BC182" s="85">
        <f t="shared" si="62"/>
        <v>0</v>
      </c>
      <c r="BD182" s="86">
        <f t="shared" si="60"/>
        <v>0</v>
      </c>
      <c r="BE182" s="86">
        <f t="shared" si="60"/>
        <v>0</v>
      </c>
      <c r="BF182" s="194">
        <v>208</v>
      </c>
      <c r="BG182" s="192">
        <f t="shared" si="63"/>
        <v>0</v>
      </c>
      <c r="BH182" s="192">
        <f t="shared" si="64"/>
        <v>0</v>
      </c>
      <c r="BI182" s="192" t="b">
        <v>0</v>
      </c>
      <c r="BJ182" s="212">
        <v>238</v>
      </c>
      <c r="BK182" s="192"/>
      <c r="BL182" s="192"/>
      <c r="BM182" s="192" t="b">
        <v>0</v>
      </c>
    </row>
    <row r="183" spans="1:65" ht="24.95" customHeight="1">
      <c r="A183" s="542">
        <v>209</v>
      </c>
      <c r="B183" s="1907"/>
      <c r="C183" s="1908"/>
      <c r="D183" s="1908"/>
      <c r="E183" s="1908"/>
      <c r="F183" s="1908"/>
      <c r="G183" s="1909"/>
      <c r="H183" s="543"/>
      <c r="I183" s="544"/>
      <c r="J183" s="545"/>
      <c r="K183" s="1895"/>
      <c r="L183" s="1896"/>
      <c r="M183" s="1897"/>
      <c r="N183" s="547">
        <v>239</v>
      </c>
      <c r="O183" s="1907"/>
      <c r="P183" s="1908"/>
      <c r="Q183" s="1908"/>
      <c r="R183" s="1908"/>
      <c r="S183" s="1908"/>
      <c r="T183" s="1909"/>
      <c r="U183" s="543"/>
      <c r="V183" s="544"/>
      <c r="W183" s="545"/>
      <c r="X183" s="1895"/>
      <c r="Y183" s="1896"/>
      <c r="Z183" s="1897"/>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83">
        <v>180</v>
      </c>
      <c r="BB183" s="84">
        <f t="shared" si="61"/>
        <v>0</v>
      </c>
      <c r="BC183" s="85">
        <f t="shared" si="62"/>
        <v>0</v>
      </c>
      <c r="BD183" s="86">
        <f t="shared" si="60"/>
        <v>0</v>
      </c>
      <c r="BE183" s="86">
        <f t="shared" si="60"/>
        <v>0</v>
      </c>
      <c r="BF183" s="194">
        <v>209</v>
      </c>
      <c r="BG183" s="192">
        <f t="shared" si="63"/>
        <v>0</v>
      </c>
      <c r="BH183" s="192">
        <f t="shared" si="64"/>
        <v>0</v>
      </c>
      <c r="BI183" s="192" t="b">
        <v>0</v>
      </c>
      <c r="BJ183" s="212">
        <v>239</v>
      </c>
      <c r="BK183" s="192"/>
      <c r="BL183" s="192"/>
      <c r="BM183" s="192" t="b">
        <v>0</v>
      </c>
    </row>
    <row r="184" spans="1:65" ht="24.95" customHeight="1">
      <c r="A184" s="542">
        <v>210</v>
      </c>
      <c r="B184" s="1907"/>
      <c r="C184" s="1908"/>
      <c r="D184" s="1908"/>
      <c r="E184" s="1908"/>
      <c r="F184" s="1908"/>
      <c r="G184" s="1909"/>
      <c r="H184" s="543"/>
      <c r="I184" s="544"/>
      <c r="J184" s="545"/>
      <c r="K184" s="1895"/>
      <c r="L184" s="1896"/>
      <c r="M184" s="1897"/>
      <c r="N184" s="547">
        <v>240</v>
      </c>
      <c r="O184" s="1907"/>
      <c r="P184" s="1908"/>
      <c r="Q184" s="1908"/>
      <c r="R184" s="1908"/>
      <c r="S184" s="1908"/>
      <c r="T184" s="1909"/>
      <c r="U184" s="543"/>
      <c r="V184" s="544"/>
      <c r="W184" s="545"/>
      <c r="X184" s="1895"/>
      <c r="Y184" s="1896"/>
      <c r="Z184" s="1897"/>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83">
        <v>181</v>
      </c>
      <c r="BB184" s="84">
        <f t="shared" si="61"/>
        <v>0</v>
      </c>
      <c r="BC184" s="85">
        <f t="shared" si="62"/>
        <v>0</v>
      </c>
      <c r="BD184" s="86">
        <f t="shared" si="60"/>
        <v>0</v>
      </c>
      <c r="BE184" s="86">
        <f t="shared" si="60"/>
        <v>0</v>
      </c>
      <c r="BF184" s="194">
        <v>210</v>
      </c>
      <c r="BG184" s="192">
        <f t="shared" si="63"/>
        <v>0</v>
      </c>
      <c r="BH184" s="192">
        <f t="shared" si="64"/>
        <v>0</v>
      </c>
      <c r="BI184" s="192" t="b">
        <v>0</v>
      </c>
      <c r="BJ184" s="212">
        <v>240</v>
      </c>
      <c r="BK184" s="192"/>
      <c r="BL184" s="192"/>
      <c r="BM184" s="192" t="b">
        <v>0</v>
      </c>
    </row>
    <row r="185" spans="1:65" ht="24.95" customHeight="1">
      <c r="A185" s="542">
        <v>211</v>
      </c>
      <c r="B185" s="1907"/>
      <c r="C185" s="1908"/>
      <c r="D185" s="1908"/>
      <c r="E185" s="1908"/>
      <c r="F185" s="1908"/>
      <c r="G185" s="1909"/>
      <c r="H185" s="543"/>
      <c r="I185" s="544"/>
      <c r="J185" s="545"/>
      <c r="K185" s="1895"/>
      <c r="L185" s="1896"/>
      <c r="M185" s="1897"/>
      <c r="N185" s="547">
        <v>241</v>
      </c>
      <c r="O185" s="1907"/>
      <c r="P185" s="1908"/>
      <c r="Q185" s="1908"/>
      <c r="R185" s="1908"/>
      <c r="S185" s="1908"/>
      <c r="T185" s="1909"/>
      <c r="U185" s="543"/>
      <c r="V185" s="544"/>
      <c r="W185" s="545"/>
      <c r="X185" s="1895"/>
      <c r="Y185" s="1896"/>
      <c r="Z185" s="1897"/>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83">
        <v>182</v>
      </c>
      <c r="BB185" s="84">
        <f t="shared" si="61"/>
        <v>0</v>
      </c>
      <c r="BC185" s="85">
        <f t="shared" si="62"/>
        <v>0</v>
      </c>
      <c r="BD185" s="86">
        <f t="shared" si="60"/>
        <v>0</v>
      </c>
      <c r="BE185" s="86">
        <f t="shared" si="60"/>
        <v>0</v>
      </c>
      <c r="BF185" s="194">
        <v>211</v>
      </c>
      <c r="BG185" s="192">
        <f t="shared" si="63"/>
        <v>0</v>
      </c>
      <c r="BH185" s="192">
        <f t="shared" si="64"/>
        <v>0</v>
      </c>
      <c r="BI185" s="192" t="b">
        <v>0</v>
      </c>
      <c r="BJ185" s="212">
        <v>241</v>
      </c>
      <c r="BK185" s="192"/>
      <c r="BL185" s="192"/>
      <c r="BM185" s="192" t="b">
        <v>0</v>
      </c>
    </row>
    <row r="186" spans="1:65" ht="24.95" customHeight="1">
      <c r="A186" s="542">
        <v>212</v>
      </c>
      <c r="B186" s="1907"/>
      <c r="C186" s="1908"/>
      <c r="D186" s="1908"/>
      <c r="E186" s="1908"/>
      <c r="F186" s="1908"/>
      <c r="G186" s="1909"/>
      <c r="H186" s="543"/>
      <c r="I186" s="544"/>
      <c r="J186" s="545"/>
      <c r="K186" s="1895"/>
      <c r="L186" s="1896"/>
      <c r="M186" s="1897"/>
      <c r="N186" s="547">
        <v>242</v>
      </c>
      <c r="O186" s="1907"/>
      <c r="P186" s="1908"/>
      <c r="Q186" s="1908"/>
      <c r="R186" s="1908"/>
      <c r="S186" s="1908"/>
      <c r="T186" s="1909"/>
      <c r="U186" s="543"/>
      <c r="V186" s="544"/>
      <c r="W186" s="545"/>
      <c r="X186" s="1895"/>
      <c r="Y186" s="1896"/>
      <c r="Z186" s="1897"/>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83">
        <v>183</v>
      </c>
      <c r="BB186" s="84">
        <f t="shared" si="61"/>
        <v>0</v>
      </c>
      <c r="BC186" s="85">
        <f t="shared" si="62"/>
        <v>0</v>
      </c>
      <c r="BD186" s="86">
        <f t="shared" si="60"/>
        <v>0</v>
      </c>
      <c r="BE186" s="86">
        <f t="shared" si="60"/>
        <v>0</v>
      </c>
      <c r="BF186" s="194">
        <v>212</v>
      </c>
      <c r="BG186" s="192">
        <f t="shared" si="63"/>
        <v>0</v>
      </c>
      <c r="BH186" s="192">
        <f t="shared" si="64"/>
        <v>0</v>
      </c>
      <c r="BI186" s="192" t="b">
        <v>0</v>
      </c>
      <c r="BJ186" s="212">
        <v>242</v>
      </c>
      <c r="BK186" s="192"/>
      <c r="BL186" s="192"/>
      <c r="BM186" s="192" t="b">
        <v>0</v>
      </c>
    </row>
    <row r="187" spans="1:65" ht="24.95" customHeight="1">
      <c r="A187" s="542">
        <v>213</v>
      </c>
      <c r="B187" s="1907"/>
      <c r="C187" s="1908"/>
      <c r="D187" s="1908"/>
      <c r="E187" s="1908"/>
      <c r="F187" s="1908"/>
      <c r="G187" s="1909"/>
      <c r="H187" s="543"/>
      <c r="I187" s="544"/>
      <c r="J187" s="545"/>
      <c r="K187" s="1895"/>
      <c r="L187" s="1896"/>
      <c r="M187" s="1897"/>
      <c r="N187" s="547">
        <v>243</v>
      </c>
      <c r="O187" s="1907"/>
      <c r="P187" s="1908"/>
      <c r="Q187" s="1908"/>
      <c r="R187" s="1908"/>
      <c r="S187" s="1908"/>
      <c r="T187" s="1909"/>
      <c r="U187" s="543"/>
      <c r="V187" s="544"/>
      <c r="W187" s="545"/>
      <c r="X187" s="1895"/>
      <c r="Y187" s="1896"/>
      <c r="Z187" s="1897"/>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83">
        <v>184</v>
      </c>
      <c r="BB187" s="84">
        <f t="shared" si="61"/>
        <v>0</v>
      </c>
      <c r="BC187" s="85">
        <f t="shared" si="62"/>
        <v>0</v>
      </c>
      <c r="BD187" s="86">
        <f t="shared" si="60"/>
        <v>0</v>
      </c>
      <c r="BE187" s="86">
        <f t="shared" si="60"/>
        <v>0</v>
      </c>
      <c r="BF187" s="194">
        <v>213</v>
      </c>
      <c r="BG187" s="192">
        <f t="shared" si="63"/>
        <v>0</v>
      </c>
      <c r="BH187" s="192">
        <f t="shared" si="64"/>
        <v>0</v>
      </c>
      <c r="BI187" s="192" t="b">
        <v>0</v>
      </c>
      <c r="BJ187" s="212">
        <v>243</v>
      </c>
      <c r="BK187" s="192"/>
      <c r="BL187" s="192"/>
      <c r="BM187" s="192" t="b">
        <v>0</v>
      </c>
    </row>
    <row r="188" spans="1:65" ht="24.95" customHeight="1">
      <c r="A188" s="542">
        <v>214</v>
      </c>
      <c r="B188" s="1907"/>
      <c r="C188" s="1908"/>
      <c r="D188" s="1908"/>
      <c r="E188" s="1908"/>
      <c r="F188" s="1908"/>
      <c r="G188" s="1909"/>
      <c r="H188" s="543"/>
      <c r="I188" s="544"/>
      <c r="J188" s="545"/>
      <c r="K188" s="1895"/>
      <c r="L188" s="1896"/>
      <c r="M188" s="1897"/>
      <c r="N188" s="547">
        <v>244</v>
      </c>
      <c r="O188" s="1907"/>
      <c r="P188" s="1908"/>
      <c r="Q188" s="1908"/>
      <c r="R188" s="1908"/>
      <c r="S188" s="1908"/>
      <c r="T188" s="1909"/>
      <c r="U188" s="543"/>
      <c r="V188" s="544"/>
      <c r="W188" s="545"/>
      <c r="X188" s="1895"/>
      <c r="Y188" s="1896"/>
      <c r="Z188" s="1897"/>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83">
        <v>185</v>
      </c>
      <c r="BB188" s="84">
        <f t="shared" si="61"/>
        <v>0</v>
      </c>
      <c r="BC188" s="85">
        <f t="shared" si="62"/>
        <v>0</v>
      </c>
      <c r="BD188" s="86">
        <f t="shared" si="60"/>
        <v>0</v>
      </c>
      <c r="BE188" s="86">
        <f t="shared" si="60"/>
        <v>0</v>
      </c>
      <c r="BF188" s="194">
        <v>214</v>
      </c>
      <c r="BG188" s="192">
        <f t="shared" si="63"/>
        <v>0</v>
      </c>
      <c r="BH188" s="192">
        <f t="shared" si="64"/>
        <v>0</v>
      </c>
      <c r="BI188" s="192" t="b">
        <v>0</v>
      </c>
      <c r="BJ188" s="212">
        <v>244</v>
      </c>
      <c r="BK188" s="192"/>
      <c r="BL188" s="192"/>
      <c r="BM188" s="192" t="b">
        <v>0</v>
      </c>
    </row>
    <row r="189" spans="1:65" ht="24.95" customHeight="1">
      <c r="A189" s="542">
        <v>215</v>
      </c>
      <c r="B189" s="1907"/>
      <c r="C189" s="1908"/>
      <c r="D189" s="1908"/>
      <c r="E189" s="1908"/>
      <c r="F189" s="1908"/>
      <c r="G189" s="1909"/>
      <c r="H189" s="543"/>
      <c r="I189" s="544"/>
      <c r="J189" s="545"/>
      <c r="K189" s="1895"/>
      <c r="L189" s="1896"/>
      <c r="M189" s="1897"/>
      <c r="N189" s="547">
        <v>245</v>
      </c>
      <c r="O189" s="1907"/>
      <c r="P189" s="1908"/>
      <c r="Q189" s="1908"/>
      <c r="R189" s="1908"/>
      <c r="S189" s="1908"/>
      <c r="T189" s="1909"/>
      <c r="U189" s="543"/>
      <c r="V189" s="544"/>
      <c r="W189" s="545"/>
      <c r="X189" s="1895"/>
      <c r="Y189" s="1896"/>
      <c r="Z189" s="1897"/>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83">
        <v>186</v>
      </c>
      <c r="BB189" s="84">
        <f t="shared" si="61"/>
        <v>0</v>
      </c>
      <c r="BC189" s="85">
        <f t="shared" si="62"/>
        <v>0</v>
      </c>
      <c r="BD189" s="86">
        <f t="shared" si="60"/>
        <v>0</v>
      </c>
      <c r="BE189" s="86">
        <f t="shared" si="60"/>
        <v>0</v>
      </c>
      <c r="BF189" s="194">
        <v>215</v>
      </c>
      <c r="BG189" s="192">
        <f t="shared" si="63"/>
        <v>0</v>
      </c>
      <c r="BH189" s="192">
        <f t="shared" si="64"/>
        <v>0</v>
      </c>
      <c r="BI189" s="192" t="b">
        <v>0</v>
      </c>
      <c r="BJ189" s="212">
        <v>245</v>
      </c>
      <c r="BK189" s="192"/>
      <c r="BL189" s="192"/>
      <c r="BM189" s="192" t="b">
        <v>0</v>
      </c>
    </row>
    <row r="190" spans="1:65" ht="24.95" customHeight="1">
      <c r="A190" s="542">
        <v>216</v>
      </c>
      <c r="B190" s="1907"/>
      <c r="C190" s="1908"/>
      <c r="D190" s="1908"/>
      <c r="E190" s="1908"/>
      <c r="F190" s="1908"/>
      <c r="G190" s="1909"/>
      <c r="H190" s="543"/>
      <c r="I190" s="544"/>
      <c r="J190" s="545"/>
      <c r="K190" s="1895"/>
      <c r="L190" s="1896"/>
      <c r="M190" s="1897"/>
      <c r="N190" s="547">
        <v>246</v>
      </c>
      <c r="O190" s="1907"/>
      <c r="P190" s="1908"/>
      <c r="Q190" s="1908"/>
      <c r="R190" s="1908"/>
      <c r="S190" s="1908"/>
      <c r="T190" s="1909"/>
      <c r="U190" s="543"/>
      <c r="V190" s="544"/>
      <c r="W190" s="545"/>
      <c r="X190" s="1895"/>
      <c r="Y190" s="1896"/>
      <c r="Z190" s="1897"/>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83">
        <v>187</v>
      </c>
      <c r="BB190" s="84">
        <f t="shared" si="61"/>
        <v>0</v>
      </c>
      <c r="BC190" s="85">
        <f t="shared" si="62"/>
        <v>0</v>
      </c>
      <c r="BD190" s="86">
        <f t="shared" si="60"/>
        <v>0</v>
      </c>
      <c r="BE190" s="86">
        <f t="shared" si="60"/>
        <v>0</v>
      </c>
      <c r="BF190" s="194">
        <v>216</v>
      </c>
      <c r="BG190" s="192">
        <f t="shared" si="63"/>
        <v>0</v>
      </c>
      <c r="BH190" s="192">
        <f t="shared" si="64"/>
        <v>0</v>
      </c>
      <c r="BI190" s="192" t="b">
        <v>0</v>
      </c>
      <c r="BJ190" s="212">
        <v>246</v>
      </c>
      <c r="BK190" s="192"/>
      <c r="BL190" s="192"/>
      <c r="BM190" s="192" t="b">
        <v>0</v>
      </c>
    </row>
    <row r="191" spans="1:65" ht="24.95" customHeight="1">
      <c r="A191" s="542">
        <v>217</v>
      </c>
      <c r="B191" s="1907"/>
      <c r="C191" s="1908"/>
      <c r="D191" s="1908"/>
      <c r="E191" s="1908"/>
      <c r="F191" s="1908"/>
      <c r="G191" s="1909"/>
      <c r="H191" s="543"/>
      <c r="I191" s="544"/>
      <c r="J191" s="545"/>
      <c r="K191" s="1895"/>
      <c r="L191" s="1896"/>
      <c r="M191" s="1897"/>
      <c r="N191" s="547">
        <v>247</v>
      </c>
      <c r="O191" s="1907"/>
      <c r="P191" s="1908"/>
      <c r="Q191" s="1908"/>
      <c r="R191" s="1908"/>
      <c r="S191" s="1908"/>
      <c r="T191" s="1909"/>
      <c r="U191" s="543"/>
      <c r="V191" s="544"/>
      <c r="W191" s="545"/>
      <c r="X191" s="1895"/>
      <c r="Y191" s="1896"/>
      <c r="Z191" s="1897"/>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83">
        <v>188</v>
      </c>
      <c r="BB191" s="84">
        <f t="shared" si="61"/>
        <v>0</v>
      </c>
      <c r="BC191" s="85">
        <f t="shared" si="62"/>
        <v>0</v>
      </c>
      <c r="BD191" s="86">
        <f t="shared" si="60"/>
        <v>0</v>
      </c>
      <c r="BE191" s="86">
        <f t="shared" si="60"/>
        <v>0</v>
      </c>
      <c r="BF191" s="194">
        <v>217</v>
      </c>
      <c r="BG191" s="192">
        <f t="shared" si="63"/>
        <v>0</v>
      </c>
      <c r="BH191" s="192">
        <f t="shared" si="64"/>
        <v>0</v>
      </c>
      <c r="BI191" s="192" t="b">
        <v>0</v>
      </c>
      <c r="BJ191" s="212">
        <v>247</v>
      </c>
      <c r="BK191" s="192"/>
      <c r="BL191" s="192"/>
      <c r="BM191" s="192" t="b">
        <v>0</v>
      </c>
    </row>
    <row r="192" spans="1:65" ht="24.95" customHeight="1">
      <c r="A192" s="542">
        <v>218</v>
      </c>
      <c r="B192" s="1907"/>
      <c r="C192" s="1908"/>
      <c r="D192" s="1908"/>
      <c r="E192" s="1908"/>
      <c r="F192" s="1908"/>
      <c r="G192" s="1909"/>
      <c r="H192" s="543"/>
      <c r="I192" s="544"/>
      <c r="J192" s="545"/>
      <c r="K192" s="1895"/>
      <c r="L192" s="1896"/>
      <c r="M192" s="1897"/>
      <c r="N192" s="547">
        <v>248</v>
      </c>
      <c r="O192" s="1907"/>
      <c r="P192" s="1908"/>
      <c r="Q192" s="1908"/>
      <c r="R192" s="1908"/>
      <c r="S192" s="1908"/>
      <c r="T192" s="1909"/>
      <c r="U192" s="543"/>
      <c r="V192" s="544"/>
      <c r="W192" s="545"/>
      <c r="X192" s="1895"/>
      <c r="Y192" s="1896"/>
      <c r="Z192" s="1897"/>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83">
        <v>189</v>
      </c>
      <c r="BB192" s="84">
        <f t="shared" si="61"/>
        <v>0</v>
      </c>
      <c r="BC192" s="85">
        <f t="shared" si="62"/>
        <v>0</v>
      </c>
      <c r="BD192" s="86">
        <f t="shared" si="60"/>
        <v>0</v>
      </c>
      <c r="BE192" s="86">
        <f t="shared" si="60"/>
        <v>0</v>
      </c>
      <c r="BF192" s="194">
        <v>218</v>
      </c>
      <c r="BG192" s="192">
        <f t="shared" si="63"/>
        <v>0</v>
      </c>
      <c r="BH192" s="192">
        <f t="shared" si="64"/>
        <v>0</v>
      </c>
      <c r="BI192" s="192" t="b">
        <v>0</v>
      </c>
      <c r="BJ192" s="212">
        <v>248</v>
      </c>
      <c r="BK192" s="192"/>
      <c r="BL192" s="192"/>
      <c r="BM192" s="192" t="b">
        <v>0</v>
      </c>
    </row>
    <row r="193" spans="1:88" ht="24.95" customHeight="1">
      <c r="A193" s="542">
        <v>219</v>
      </c>
      <c r="B193" s="1907"/>
      <c r="C193" s="1908"/>
      <c r="D193" s="1908"/>
      <c r="E193" s="1908"/>
      <c r="F193" s="1908"/>
      <c r="G193" s="1909"/>
      <c r="H193" s="543"/>
      <c r="I193" s="544"/>
      <c r="J193" s="545"/>
      <c r="K193" s="1895"/>
      <c r="L193" s="1896"/>
      <c r="M193" s="1897"/>
      <c r="N193" s="547">
        <v>249</v>
      </c>
      <c r="O193" s="1907"/>
      <c r="P193" s="1908"/>
      <c r="Q193" s="1908"/>
      <c r="R193" s="1908"/>
      <c r="S193" s="1908"/>
      <c r="T193" s="1909"/>
      <c r="U193" s="543"/>
      <c r="V193" s="544"/>
      <c r="W193" s="545"/>
      <c r="X193" s="1895"/>
      <c r="Y193" s="1896"/>
      <c r="Z193" s="1897"/>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83">
        <v>190</v>
      </c>
      <c r="BB193" s="84">
        <f t="shared" si="61"/>
        <v>0</v>
      </c>
      <c r="BC193" s="85">
        <f t="shared" si="62"/>
        <v>0</v>
      </c>
      <c r="BD193" s="86">
        <f t="shared" si="60"/>
        <v>0</v>
      </c>
      <c r="BE193" s="86">
        <f t="shared" si="60"/>
        <v>0</v>
      </c>
      <c r="BF193" s="194">
        <v>219</v>
      </c>
      <c r="BG193" s="192">
        <f t="shared" si="63"/>
        <v>0</v>
      </c>
      <c r="BH193" s="192">
        <f t="shared" si="64"/>
        <v>0</v>
      </c>
      <c r="BI193" s="192" t="b">
        <v>0</v>
      </c>
      <c r="BJ193" s="212">
        <v>249</v>
      </c>
      <c r="BK193" s="192"/>
      <c r="BL193" s="192"/>
      <c r="BM193" s="192" t="b">
        <v>0</v>
      </c>
    </row>
    <row r="194" spans="1:88" ht="24.95" customHeight="1">
      <c r="A194" s="542">
        <v>220</v>
      </c>
      <c r="B194" s="1910"/>
      <c r="C194" s="1910"/>
      <c r="D194" s="1910"/>
      <c r="E194" s="1910"/>
      <c r="F194" s="1910"/>
      <c r="G194" s="1910"/>
      <c r="H194" s="543"/>
      <c r="I194" s="544"/>
      <c r="J194" s="545"/>
      <c r="K194" s="1895"/>
      <c r="L194" s="1896"/>
      <c r="M194" s="1897"/>
      <c r="N194" s="547">
        <v>250</v>
      </c>
      <c r="O194" s="1921"/>
      <c r="P194" s="1918"/>
      <c r="Q194" s="1918"/>
      <c r="R194" s="1918"/>
      <c r="S194" s="1918"/>
      <c r="T194" s="1919"/>
      <c r="U194" s="543"/>
      <c r="V194" s="544"/>
      <c r="W194" s="545"/>
      <c r="X194" s="1895"/>
      <c r="Y194" s="1896"/>
      <c r="Z194" s="1897"/>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83">
        <v>191</v>
      </c>
      <c r="BB194" s="84">
        <f t="shared" si="61"/>
        <v>0</v>
      </c>
      <c r="BC194" s="85">
        <f t="shared" si="62"/>
        <v>0</v>
      </c>
      <c r="BD194" s="86">
        <f t="shared" si="60"/>
        <v>0</v>
      </c>
      <c r="BE194" s="86">
        <f t="shared" si="60"/>
        <v>0</v>
      </c>
      <c r="BF194" s="194">
        <v>220</v>
      </c>
      <c r="BG194" s="192">
        <f t="shared" si="63"/>
        <v>0</v>
      </c>
      <c r="BH194" s="192">
        <f t="shared" si="64"/>
        <v>0</v>
      </c>
      <c r="BI194" s="192" t="b">
        <v>0</v>
      </c>
      <c r="BJ194" s="212">
        <v>250</v>
      </c>
      <c r="BK194" s="192"/>
      <c r="BL194" s="192"/>
      <c r="BM194" s="192" t="b">
        <v>0</v>
      </c>
    </row>
    <row r="195" spans="1:88" ht="24.95" customHeight="1">
      <c r="A195" s="542">
        <v>221</v>
      </c>
      <c r="B195" s="1910"/>
      <c r="C195" s="1910"/>
      <c r="D195" s="1910"/>
      <c r="E195" s="1910"/>
      <c r="F195" s="1910"/>
      <c r="G195" s="1910"/>
      <c r="H195" s="543"/>
      <c r="I195" s="544"/>
      <c r="J195" s="545"/>
      <c r="K195" s="1895"/>
      <c r="L195" s="1896"/>
      <c r="M195" s="1897"/>
      <c r="N195" s="547">
        <v>251</v>
      </c>
      <c r="O195" s="1907"/>
      <c r="P195" s="1908"/>
      <c r="Q195" s="1908"/>
      <c r="R195" s="1908"/>
      <c r="S195" s="1908"/>
      <c r="T195" s="1909"/>
      <c r="U195" s="543"/>
      <c r="V195" s="544"/>
      <c r="W195" s="545"/>
      <c r="X195" s="1895"/>
      <c r="Y195" s="1896"/>
      <c r="Z195" s="1897"/>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83">
        <v>192</v>
      </c>
      <c r="BB195" s="84">
        <f t="shared" si="61"/>
        <v>0</v>
      </c>
      <c r="BC195" s="85">
        <f t="shared" si="62"/>
        <v>0</v>
      </c>
      <c r="BD195" s="86">
        <f t="shared" si="60"/>
        <v>0</v>
      </c>
      <c r="BE195" s="86">
        <f t="shared" si="60"/>
        <v>0</v>
      </c>
      <c r="BF195" s="194">
        <v>221</v>
      </c>
      <c r="BG195" s="192">
        <f t="shared" si="63"/>
        <v>0</v>
      </c>
      <c r="BH195" s="192">
        <f t="shared" si="64"/>
        <v>0</v>
      </c>
      <c r="BI195" s="192" t="b">
        <v>0</v>
      </c>
      <c r="BJ195" s="212">
        <v>251</v>
      </c>
      <c r="BK195" s="192"/>
      <c r="BL195" s="192"/>
      <c r="BM195" s="192" t="b">
        <v>0</v>
      </c>
    </row>
    <row r="196" spans="1:88" ht="24.95" customHeight="1">
      <c r="A196" s="542">
        <v>222</v>
      </c>
      <c r="B196" s="1910"/>
      <c r="C196" s="1910"/>
      <c r="D196" s="1910"/>
      <c r="E196" s="1910"/>
      <c r="F196" s="1910"/>
      <c r="G196" s="1910"/>
      <c r="H196" s="543"/>
      <c r="I196" s="544"/>
      <c r="J196" s="545"/>
      <c r="K196" s="1895"/>
      <c r="L196" s="1896"/>
      <c r="M196" s="1897"/>
      <c r="N196" s="547">
        <v>252</v>
      </c>
      <c r="O196" s="1907"/>
      <c r="P196" s="1908"/>
      <c r="Q196" s="1908"/>
      <c r="R196" s="1908"/>
      <c r="S196" s="1908"/>
      <c r="T196" s="1909"/>
      <c r="U196" s="543"/>
      <c r="V196" s="544"/>
      <c r="W196" s="545"/>
      <c r="X196" s="1895"/>
      <c r="Y196" s="1896"/>
      <c r="Z196" s="1897"/>
      <c r="BA196" s="83">
        <v>193</v>
      </c>
      <c r="BB196" s="84">
        <f t="shared" si="61"/>
        <v>0</v>
      </c>
      <c r="BC196" s="85">
        <f t="shared" si="62"/>
        <v>0</v>
      </c>
      <c r="BD196" s="86">
        <f t="shared" si="60"/>
        <v>0</v>
      </c>
      <c r="BE196" s="86">
        <f t="shared" si="60"/>
        <v>0</v>
      </c>
      <c r="BF196" s="194">
        <v>222</v>
      </c>
      <c r="BG196" s="192">
        <f t="shared" si="63"/>
        <v>0</v>
      </c>
      <c r="BH196" s="192">
        <f t="shared" si="64"/>
        <v>0</v>
      </c>
      <c r="BI196" s="192" t="b">
        <v>0</v>
      </c>
      <c r="BJ196" s="212">
        <v>252</v>
      </c>
      <c r="BK196" s="192"/>
      <c r="BL196" s="192"/>
      <c r="BM196" s="192" t="b">
        <v>0</v>
      </c>
    </row>
    <row r="197" spans="1:88" ht="24.95" customHeight="1">
      <c r="A197" s="542">
        <v>223</v>
      </c>
      <c r="B197" s="1910"/>
      <c r="C197" s="1910"/>
      <c r="D197" s="1910"/>
      <c r="E197" s="1910"/>
      <c r="F197" s="1910"/>
      <c r="G197" s="1910"/>
      <c r="H197" s="543"/>
      <c r="I197" s="544"/>
      <c r="J197" s="545"/>
      <c r="K197" s="1895"/>
      <c r="L197" s="1896"/>
      <c r="M197" s="1897"/>
      <c r="N197" s="547">
        <v>253</v>
      </c>
      <c r="O197" s="1907"/>
      <c r="P197" s="1908"/>
      <c r="Q197" s="1908"/>
      <c r="R197" s="1908"/>
      <c r="S197" s="1908"/>
      <c r="T197" s="1909"/>
      <c r="U197" s="543"/>
      <c r="V197" s="544"/>
      <c r="W197" s="545"/>
      <c r="X197" s="1895"/>
      <c r="Y197" s="1896"/>
      <c r="Z197" s="1897"/>
      <c r="BA197" s="83">
        <v>194</v>
      </c>
      <c r="BB197" s="84">
        <f t="shared" si="61"/>
        <v>0</v>
      </c>
      <c r="BC197" s="85">
        <f t="shared" si="62"/>
        <v>0</v>
      </c>
      <c r="BD197" s="86">
        <f t="shared" si="60"/>
        <v>0</v>
      </c>
      <c r="BE197" s="86">
        <f t="shared" si="60"/>
        <v>0</v>
      </c>
      <c r="BF197" s="194">
        <v>223</v>
      </c>
      <c r="BG197" s="192">
        <f t="shared" si="63"/>
        <v>0</v>
      </c>
      <c r="BH197" s="192">
        <f t="shared" si="64"/>
        <v>0</v>
      </c>
      <c r="BI197" s="192" t="b">
        <v>0</v>
      </c>
      <c r="BJ197" s="212">
        <v>253</v>
      </c>
      <c r="BK197" s="192"/>
      <c r="BL197" s="192"/>
      <c r="BM197" s="192" t="b">
        <v>0</v>
      </c>
    </row>
    <row r="198" spans="1:88" ht="24.95" customHeight="1">
      <c r="A198" s="542">
        <v>224</v>
      </c>
      <c r="B198" s="1910"/>
      <c r="C198" s="1910"/>
      <c r="D198" s="1910"/>
      <c r="E198" s="1910"/>
      <c r="F198" s="1910"/>
      <c r="G198" s="1910"/>
      <c r="H198" s="543"/>
      <c r="I198" s="544"/>
      <c r="J198" s="545"/>
      <c r="K198" s="1895"/>
      <c r="L198" s="1896"/>
      <c r="M198" s="1897"/>
      <c r="N198" s="547">
        <v>254</v>
      </c>
      <c r="O198" s="1907"/>
      <c r="P198" s="1908"/>
      <c r="Q198" s="1908"/>
      <c r="R198" s="1908"/>
      <c r="S198" s="1908"/>
      <c r="T198" s="1909"/>
      <c r="U198" s="543"/>
      <c r="V198" s="544"/>
      <c r="W198" s="545"/>
      <c r="X198" s="1895"/>
      <c r="Y198" s="1896"/>
      <c r="Z198" s="1897"/>
      <c r="BA198" s="83">
        <v>195</v>
      </c>
      <c r="BB198" s="84">
        <f t="shared" si="61"/>
        <v>0</v>
      </c>
      <c r="BC198" s="85">
        <f t="shared" si="62"/>
        <v>0</v>
      </c>
      <c r="BD198" s="86">
        <f t="shared" si="60"/>
        <v>0</v>
      </c>
      <c r="BE198" s="86">
        <f t="shared" si="60"/>
        <v>0</v>
      </c>
      <c r="BF198" s="194">
        <v>224</v>
      </c>
      <c r="BG198" s="192">
        <f t="shared" si="63"/>
        <v>0</v>
      </c>
      <c r="BH198" s="192">
        <f t="shared" si="64"/>
        <v>0</v>
      </c>
      <c r="BI198" s="192" t="b">
        <v>0</v>
      </c>
      <c r="BJ198" s="212">
        <v>254</v>
      </c>
      <c r="BK198" s="192"/>
      <c r="BL198" s="192"/>
      <c r="BM198" s="192" t="b">
        <v>0</v>
      </c>
    </row>
    <row r="199" spans="1:88" ht="24.95" customHeight="1">
      <c r="A199" s="542">
        <v>225</v>
      </c>
      <c r="B199" s="1910"/>
      <c r="C199" s="1910"/>
      <c r="D199" s="1910"/>
      <c r="E199" s="1910"/>
      <c r="F199" s="1910"/>
      <c r="G199" s="1910"/>
      <c r="H199" s="543"/>
      <c r="I199" s="544"/>
      <c r="J199" s="545"/>
      <c r="K199" s="1895"/>
      <c r="L199" s="1896"/>
      <c r="M199" s="1897"/>
      <c r="N199" s="547">
        <v>255</v>
      </c>
      <c r="O199" s="1907"/>
      <c r="P199" s="1908"/>
      <c r="Q199" s="1908"/>
      <c r="R199" s="1908"/>
      <c r="S199" s="1908"/>
      <c r="T199" s="1909"/>
      <c r="U199" s="543"/>
      <c r="V199" s="544"/>
      <c r="W199" s="545"/>
      <c r="X199" s="1895"/>
      <c r="Y199" s="1896"/>
      <c r="Z199" s="1897"/>
      <c r="BA199" s="83">
        <v>196</v>
      </c>
      <c r="BB199" s="84">
        <f t="shared" si="61"/>
        <v>0</v>
      </c>
      <c r="BC199" s="85">
        <f t="shared" si="62"/>
        <v>0</v>
      </c>
      <c r="BD199" s="86">
        <f t="shared" si="60"/>
        <v>0</v>
      </c>
      <c r="BE199" s="86">
        <f t="shared" si="60"/>
        <v>0</v>
      </c>
      <c r="BF199" s="194">
        <v>225</v>
      </c>
      <c r="BG199" s="192">
        <f t="shared" si="63"/>
        <v>0</v>
      </c>
      <c r="BH199" s="192">
        <f t="shared" si="64"/>
        <v>0</v>
      </c>
      <c r="BI199" s="192" t="b">
        <v>0</v>
      </c>
      <c r="BJ199" s="212">
        <v>255</v>
      </c>
      <c r="BK199" s="192"/>
      <c r="BL199" s="192"/>
      <c r="BM199" s="192" t="b">
        <v>0</v>
      </c>
    </row>
    <row r="200" spans="1:88" ht="24.95" customHeight="1">
      <c r="A200" s="542">
        <v>226</v>
      </c>
      <c r="B200" s="1910"/>
      <c r="C200" s="1910"/>
      <c r="D200" s="1910"/>
      <c r="E200" s="1910"/>
      <c r="F200" s="1910"/>
      <c r="G200" s="1910"/>
      <c r="H200" s="543"/>
      <c r="I200" s="544"/>
      <c r="J200" s="545"/>
      <c r="K200" s="1895"/>
      <c r="L200" s="1896"/>
      <c r="M200" s="1897"/>
      <c r="N200" s="547">
        <v>256</v>
      </c>
      <c r="O200" s="1907"/>
      <c r="P200" s="1908"/>
      <c r="Q200" s="1908"/>
      <c r="R200" s="1908"/>
      <c r="S200" s="1908"/>
      <c r="T200" s="1909"/>
      <c r="U200" s="543"/>
      <c r="V200" s="544"/>
      <c r="W200" s="545"/>
      <c r="X200" s="1895"/>
      <c r="Y200" s="1896"/>
      <c r="Z200" s="1897"/>
      <c r="BA200" s="83">
        <v>197</v>
      </c>
      <c r="BB200" s="84">
        <f t="shared" si="61"/>
        <v>0</v>
      </c>
      <c r="BC200" s="85">
        <f t="shared" si="62"/>
        <v>0</v>
      </c>
      <c r="BD200" s="86">
        <f t="shared" si="60"/>
        <v>0</v>
      </c>
      <c r="BE200" s="86">
        <f t="shared" si="60"/>
        <v>0</v>
      </c>
      <c r="BF200" s="194">
        <v>226</v>
      </c>
      <c r="BG200" s="192">
        <f t="shared" si="63"/>
        <v>0</v>
      </c>
      <c r="BH200" s="192">
        <f t="shared" si="64"/>
        <v>0</v>
      </c>
      <c r="BI200" s="192" t="b">
        <v>0</v>
      </c>
      <c r="BJ200" s="212">
        <v>256</v>
      </c>
      <c r="BK200" s="192"/>
      <c r="BL200" s="192"/>
      <c r="BM200" s="192" t="b">
        <v>0</v>
      </c>
    </row>
    <row r="201" spans="1:88" ht="24.95" customHeight="1">
      <c r="A201" s="542">
        <v>227</v>
      </c>
      <c r="B201" s="1910"/>
      <c r="C201" s="1910"/>
      <c r="D201" s="1910"/>
      <c r="E201" s="1910"/>
      <c r="F201" s="1910"/>
      <c r="G201" s="1910"/>
      <c r="H201" s="543"/>
      <c r="I201" s="544"/>
      <c r="J201" s="545"/>
      <c r="K201" s="1895"/>
      <c r="L201" s="1896"/>
      <c r="M201" s="1897"/>
      <c r="N201" s="547">
        <v>257</v>
      </c>
      <c r="O201" s="1907"/>
      <c r="P201" s="1908"/>
      <c r="Q201" s="1908"/>
      <c r="R201" s="1908"/>
      <c r="S201" s="1908"/>
      <c r="T201" s="1909"/>
      <c r="U201" s="543"/>
      <c r="V201" s="544"/>
      <c r="W201" s="545"/>
      <c r="X201" s="1895"/>
      <c r="Y201" s="1896"/>
      <c r="Z201" s="1897"/>
      <c r="BA201" s="83">
        <v>198</v>
      </c>
      <c r="BB201" s="84">
        <f t="shared" si="61"/>
        <v>0</v>
      </c>
      <c r="BC201" s="85">
        <f t="shared" si="62"/>
        <v>0</v>
      </c>
      <c r="BD201" s="86">
        <f t="shared" si="60"/>
        <v>0</v>
      </c>
      <c r="BE201" s="86">
        <f t="shared" si="60"/>
        <v>0</v>
      </c>
      <c r="BF201" s="194">
        <v>227</v>
      </c>
      <c r="BG201" s="192">
        <f t="shared" si="63"/>
        <v>0</v>
      </c>
      <c r="BH201" s="192">
        <f t="shared" si="64"/>
        <v>0</v>
      </c>
      <c r="BI201" s="192" t="b">
        <v>0</v>
      </c>
      <c r="BJ201" s="212">
        <v>257</v>
      </c>
      <c r="BK201" s="192"/>
      <c r="BL201" s="192"/>
      <c r="BM201" s="192" t="b">
        <v>0</v>
      </c>
    </row>
    <row r="202" spans="1:88" ht="24.95" customHeight="1">
      <c r="A202" s="542">
        <v>228</v>
      </c>
      <c r="B202" s="1910"/>
      <c r="C202" s="1910"/>
      <c r="D202" s="1910"/>
      <c r="E202" s="1910"/>
      <c r="F202" s="1910"/>
      <c r="G202" s="1910"/>
      <c r="H202" s="543"/>
      <c r="I202" s="544"/>
      <c r="J202" s="545"/>
      <c r="K202" s="1895"/>
      <c r="L202" s="1896"/>
      <c r="M202" s="1897"/>
      <c r="N202" s="547">
        <v>258</v>
      </c>
      <c r="O202" s="1907"/>
      <c r="P202" s="1908"/>
      <c r="Q202" s="1908"/>
      <c r="R202" s="1908"/>
      <c r="S202" s="1908"/>
      <c r="T202" s="1909"/>
      <c r="U202" s="543"/>
      <c r="V202" s="544"/>
      <c r="W202" s="545"/>
      <c r="X202" s="1895"/>
      <c r="Y202" s="1896"/>
      <c r="Z202" s="1897"/>
      <c r="BA202" s="83">
        <v>199</v>
      </c>
      <c r="BB202" s="84">
        <f t="shared" si="61"/>
        <v>0</v>
      </c>
      <c r="BC202" s="85">
        <f t="shared" si="62"/>
        <v>0</v>
      </c>
      <c r="BD202" s="86">
        <f t="shared" si="60"/>
        <v>0</v>
      </c>
      <c r="BE202" s="86">
        <f t="shared" si="60"/>
        <v>0</v>
      </c>
      <c r="BF202" s="194">
        <v>228</v>
      </c>
      <c r="BG202" s="192">
        <f t="shared" si="63"/>
        <v>0</v>
      </c>
      <c r="BH202" s="192">
        <f t="shared" si="64"/>
        <v>0</v>
      </c>
      <c r="BI202" s="192" t="b">
        <v>0</v>
      </c>
      <c r="BJ202" s="212">
        <v>258</v>
      </c>
      <c r="BK202" s="192"/>
      <c r="BL202" s="192"/>
      <c r="BM202" s="192" t="b">
        <v>0</v>
      </c>
    </row>
    <row r="203" spans="1:88" ht="24.95" customHeight="1">
      <c r="A203" s="542">
        <v>229</v>
      </c>
      <c r="B203" s="1910"/>
      <c r="C203" s="1910"/>
      <c r="D203" s="1910"/>
      <c r="E203" s="1910"/>
      <c r="F203" s="1910"/>
      <c r="G203" s="1910"/>
      <c r="H203" s="543"/>
      <c r="I203" s="544"/>
      <c r="J203" s="545"/>
      <c r="K203" s="1895"/>
      <c r="L203" s="1896"/>
      <c r="M203" s="1897"/>
      <c r="N203" s="547">
        <v>259</v>
      </c>
      <c r="O203" s="1907"/>
      <c r="P203" s="1908"/>
      <c r="Q203" s="1908"/>
      <c r="R203" s="1908"/>
      <c r="S203" s="1908"/>
      <c r="T203" s="1909"/>
      <c r="U203" s="543"/>
      <c r="V203" s="544"/>
      <c r="W203" s="545"/>
      <c r="X203" s="1895"/>
      <c r="Y203" s="1896"/>
      <c r="Z203" s="1897"/>
      <c r="BA203" s="83">
        <v>200</v>
      </c>
      <c r="BB203" s="84">
        <f t="shared" si="61"/>
        <v>0</v>
      </c>
      <c r="BC203" s="85">
        <f t="shared" si="62"/>
        <v>0</v>
      </c>
      <c r="BD203" s="86">
        <f t="shared" si="60"/>
        <v>0</v>
      </c>
      <c r="BE203" s="86">
        <f t="shared" si="60"/>
        <v>0</v>
      </c>
      <c r="BF203" s="194">
        <v>229</v>
      </c>
      <c r="BG203" s="192">
        <f t="shared" si="63"/>
        <v>0</v>
      </c>
      <c r="BH203" s="192">
        <f t="shared" si="64"/>
        <v>0</v>
      </c>
      <c r="BI203" s="192" t="b">
        <v>0</v>
      </c>
      <c r="BJ203" s="212">
        <v>259</v>
      </c>
      <c r="BK203" s="192"/>
      <c r="BL203" s="192"/>
      <c r="BM203" s="192" t="b">
        <v>0</v>
      </c>
    </row>
    <row r="204" spans="1:88" ht="24.95" customHeight="1">
      <c r="A204" s="542">
        <v>230</v>
      </c>
      <c r="B204" s="1910"/>
      <c r="C204" s="1910"/>
      <c r="D204" s="1910"/>
      <c r="E204" s="1910"/>
      <c r="F204" s="1910"/>
      <c r="G204" s="1910"/>
      <c r="H204" s="543"/>
      <c r="I204" s="544"/>
      <c r="J204" s="545"/>
      <c r="K204" s="1895"/>
      <c r="L204" s="1896"/>
      <c r="M204" s="1897"/>
      <c r="N204" s="547">
        <v>260</v>
      </c>
      <c r="O204" s="1907"/>
      <c r="P204" s="1908"/>
      <c r="Q204" s="1908"/>
      <c r="R204" s="1908"/>
      <c r="S204" s="1908"/>
      <c r="T204" s="1909"/>
      <c r="U204" s="543"/>
      <c r="V204" s="544"/>
      <c r="W204" s="545"/>
      <c r="X204" s="1895"/>
      <c r="Y204" s="1896"/>
      <c r="Z204" s="1897"/>
      <c r="BA204" s="83">
        <v>201</v>
      </c>
      <c r="BB204" s="84">
        <f>COUNTA(H175:I175)</f>
        <v>0</v>
      </c>
      <c r="BC204" s="85">
        <f>COUNTA(X175)</f>
        <v>0</v>
      </c>
      <c r="BD204" s="86">
        <f t="shared" ref="BD204:BE233" si="65">BB204-COUNTA(H175)</f>
        <v>0</v>
      </c>
      <c r="BE204" s="86">
        <f t="shared" si="65"/>
        <v>0</v>
      </c>
      <c r="BF204" s="194">
        <v>230</v>
      </c>
      <c r="BG204" s="192">
        <f t="shared" si="63"/>
        <v>0</v>
      </c>
      <c r="BH204" s="192">
        <f t="shared" si="64"/>
        <v>0</v>
      </c>
      <c r="BI204" s="192" t="b">
        <v>0</v>
      </c>
      <c r="BJ204" s="212">
        <v>260</v>
      </c>
      <c r="BK204" s="192"/>
      <c r="BL204" s="192"/>
      <c r="BM204" s="192" t="b">
        <v>0</v>
      </c>
    </row>
    <row r="205" spans="1:88" s="55" customFormat="1" ht="24.95" customHeight="1">
      <c r="A205" s="552"/>
      <c r="B205" s="549"/>
      <c r="C205" s="549"/>
      <c r="D205" s="549"/>
      <c r="E205" s="549"/>
      <c r="F205" s="549"/>
      <c r="G205" s="549"/>
      <c r="H205" s="550"/>
      <c r="I205" s="550"/>
      <c r="J205" s="559"/>
      <c r="K205" s="559"/>
      <c r="L205" s="533"/>
      <c r="M205" s="533"/>
      <c r="N205" s="552"/>
      <c r="O205" s="549"/>
      <c r="P205" s="549"/>
      <c r="Q205" s="549"/>
      <c r="R205" s="549"/>
      <c r="S205" s="549"/>
      <c r="T205" s="549"/>
      <c r="U205" s="550"/>
      <c r="V205" s="550"/>
      <c r="W205" s="550"/>
      <c r="X205" s="550"/>
      <c r="Y205" s="551"/>
      <c r="Z205" s="551"/>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83">
        <v>202</v>
      </c>
      <c r="BB205" s="84">
        <f t="shared" ref="BB205:BB233" si="66">COUNTA(H176:I176)</f>
        <v>0</v>
      </c>
      <c r="BC205" s="85">
        <f t="shared" ref="BC205:BC233" si="67">COUNTA(X176)</f>
        <v>0</v>
      </c>
      <c r="BD205" s="86">
        <f t="shared" si="65"/>
        <v>0</v>
      </c>
      <c r="BE205" s="86">
        <f t="shared" si="65"/>
        <v>0</v>
      </c>
      <c r="BF205" s="142"/>
      <c r="BG205" s="77"/>
      <c r="BH205" s="77"/>
      <c r="BI205" s="77"/>
      <c r="BJ205" s="77"/>
      <c r="BK205" s="77"/>
      <c r="BL205" s="77"/>
      <c r="BM205" s="77"/>
      <c r="BN205" s="77"/>
      <c r="BO205" s="77"/>
      <c r="BP205" s="77"/>
      <c r="BQ205" s="77"/>
      <c r="BR205" s="77"/>
      <c r="BS205" s="77"/>
      <c r="BT205" s="77"/>
      <c r="BU205" s="77"/>
      <c r="BV205" s="77"/>
      <c r="BW205" s="77"/>
      <c r="CF205" s="77"/>
      <c r="CI205" s="313"/>
      <c r="CJ205" s="313"/>
    </row>
    <row r="206" spans="1:88" ht="23.25">
      <c r="A206" s="1324" t="s">
        <v>488</v>
      </c>
      <c r="B206" s="1324"/>
      <c r="C206" s="1324"/>
      <c r="D206" s="1324"/>
      <c r="E206" s="1324"/>
      <c r="F206" s="1324"/>
      <c r="G206" s="1324"/>
      <c r="H206" s="1324"/>
      <c r="I206" s="1324"/>
      <c r="J206" s="1324"/>
      <c r="K206" s="1324"/>
      <c r="L206" s="1324"/>
      <c r="M206" s="1324"/>
      <c r="N206" s="1324"/>
      <c r="O206" s="1324"/>
      <c r="P206" s="1324"/>
      <c r="Q206" s="1324"/>
      <c r="R206" s="1324"/>
      <c r="S206" s="1324"/>
      <c r="T206" s="1324"/>
      <c r="U206" s="1324"/>
      <c r="V206" s="1324"/>
      <c r="W206" s="1324"/>
      <c r="X206" s="1324"/>
      <c r="Y206" s="1324"/>
      <c r="Z206" s="132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83">
        <v>203</v>
      </c>
      <c r="BB206" s="84">
        <f t="shared" si="66"/>
        <v>0</v>
      </c>
      <c r="BC206" s="85">
        <f t="shared" si="67"/>
        <v>0</v>
      </c>
      <c r="BD206" s="86">
        <f t="shared" si="65"/>
        <v>0</v>
      </c>
      <c r="BE206" s="86">
        <f t="shared" si="65"/>
        <v>0</v>
      </c>
    </row>
    <row r="207" spans="1:88" ht="24" thickBot="1">
      <c r="A207" s="534">
        <f>COUNTIFS(K218:K247,"a",H218:H247,"&gt;0")</f>
        <v>0</v>
      </c>
      <c r="B207" s="534">
        <f>COUNTIFS(X218:X247,"a",U218:U247,"&gt;0")</f>
        <v>0</v>
      </c>
      <c r="C207" s="534">
        <f>COUNTIFS(K218:K247,"b",H218:H247,"&gt;0")</f>
        <v>0</v>
      </c>
      <c r="D207" s="534">
        <f>COUNTIFS(X218:X247,"b",U218:U247,"&gt;0")</f>
        <v>0</v>
      </c>
      <c r="E207" s="534">
        <f>COUNTIFS(K218:K247,"c",H218:H247,"&gt;0")</f>
        <v>0</v>
      </c>
      <c r="F207" s="534">
        <f>COUNTIFS(X218:X247,"c",U218:U247,"&gt;0")</f>
        <v>0</v>
      </c>
      <c r="G207" s="534">
        <f>COUNTIFS(K218:K247,"d",H218:H247,"&gt;0")</f>
        <v>0</v>
      </c>
      <c r="H207" s="534">
        <f>COUNTIFS(X218:X247,"d",U218:U247,"&gt;0")</f>
        <v>0</v>
      </c>
      <c r="I207" s="534">
        <f>COUNTIFS(K218:K247,"e",H218:H247,"&gt;0")</f>
        <v>0</v>
      </c>
      <c r="J207" s="534">
        <f>COUNTIFS(X218:X247,"e",U218:U247,"&gt;0")</f>
        <v>0</v>
      </c>
      <c r="K207" s="534">
        <f>COUNTIFS(K218:K247,"f",H218:H247,"&gt;0")</f>
        <v>0</v>
      </c>
      <c r="L207" s="534">
        <f>COUNTIFS(X218:X247,"f",U218:U247,"&gt;0")</f>
        <v>0</v>
      </c>
      <c r="M207" s="534">
        <f>COUNTIFS(K218:K247,"g",H218:H247,"&gt;0")</f>
        <v>0</v>
      </c>
      <c r="N207" s="534">
        <f>COUNTIFS(X218:X247,"g",U218:U247,"&gt;0")</f>
        <v>0</v>
      </c>
      <c r="O207" s="534">
        <f>COUNTIFS(K218:K247,"h",H218:H247,"&gt;0")</f>
        <v>0</v>
      </c>
      <c r="P207" s="534">
        <f>COUNTIFS(X218:X247,"h",U218:U247,"&gt;0")</f>
        <v>0</v>
      </c>
      <c r="Q207" s="534">
        <f>COUNTIFS(K218:K247,"i",H218:H247,"&gt;0")</f>
        <v>0</v>
      </c>
      <c r="R207" s="534">
        <f>COUNTIFS(X218:X247,"i",U218:U247,"&gt;0")</f>
        <v>0</v>
      </c>
      <c r="S207" s="535">
        <f>SUM(A207:R207)</f>
        <v>0</v>
      </c>
      <c r="T207" s="535"/>
      <c r="U207" s="535"/>
      <c r="V207" s="535"/>
      <c r="W207" s="1906" t="s">
        <v>489</v>
      </c>
      <c r="X207" s="1906"/>
      <c r="Y207" s="1906">
        <v>6</v>
      </c>
      <c r="Z207" s="1906"/>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83">
        <v>204</v>
      </c>
      <c r="BB207" s="84">
        <f t="shared" si="66"/>
        <v>0</v>
      </c>
      <c r="BC207" s="85">
        <f t="shared" si="67"/>
        <v>0</v>
      </c>
      <c r="BD207" s="86">
        <f t="shared" si="65"/>
        <v>0</v>
      </c>
      <c r="BE207" s="86">
        <f t="shared" si="65"/>
        <v>0</v>
      </c>
    </row>
    <row r="208" spans="1:88" s="55" customFormat="1" ht="23.25">
      <c r="A208" s="534">
        <f>COUNTIFS(K218:K247,"a",I218:I247,"&gt;0")</f>
        <v>0</v>
      </c>
      <c r="B208" s="534">
        <f>COUNTIFS(X218:X247,"a",V218:V247,"&gt;0")</f>
        <v>0</v>
      </c>
      <c r="C208" s="534">
        <f>COUNTIFS(K218:K247,"b",I218:I247,"&gt;0")</f>
        <v>0</v>
      </c>
      <c r="D208" s="534">
        <f>COUNTIFS(X218:X247,"b",V218:V247,"&gt;0")</f>
        <v>0</v>
      </c>
      <c r="E208" s="534">
        <f>COUNTIFS(K218:K247,"c",I218:I247,"&gt;0")</f>
        <v>0</v>
      </c>
      <c r="F208" s="534">
        <f>COUNTIFS(X218:X247,"c",V218:V247,"&gt;0")</f>
        <v>0</v>
      </c>
      <c r="G208" s="534">
        <f>COUNTIFS(K218:K247,"d",I218:I247,"&gt;0")</f>
        <v>0</v>
      </c>
      <c r="H208" s="534">
        <f>COUNTIFS(X218:X247,"d",V218:V247,"&gt;0")</f>
        <v>0</v>
      </c>
      <c r="I208" s="534">
        <f>COUNTIFS(K218:K247,"e",I218:I247,"&gt;0")</f>
        <v>0</v>
      </c>
      <c r="J208" s="534">
        <f>COUNTIFS(X218:X247,"e",V218:V247,"&gt;0")</f>
        <v>0</v>
      </c>
      <c r="K208" s="534">
        <f>COUNTIFS(K218:K247,"f",I218:I247,"&gt;0")</f>
        <v>0</v>
      </c>
      <c r="L208" s="534">
        <f>COUNTIFS(X218:X247,"f",V218:V247,"&gt;0")</f>
        <v>0</v>
      </c>
      <c r="M208" s="534">
        <f>COUNTIFS(K218:K247,"g",I218:I247,"&gt;0")</f>
        <v>0</v>
      </c>
      <c r="N208" s="534">
        <f>COUNTIFS(X218:X247,"g",V218:V247,"&gt;0")</f>
        <v>0</v>
      </c>
      <c r="O208" s="534">
        <f>COUNTIFS(K218:K247,"h",I218:I247,"&gt;0")</f>
        <v>0</v>
      </c>
      <c r="P208" s="534">
        <f>COUNTIFS(X218:X247,"h",V218:V247,"&gt;0")</f>
        <v>0</v>
      </c>
      <c r="Q208" s="534">
        <f>COUNTIFS(K218:K247,"i",I218:I247,"&gt;0")</f>
        <v>0</v>
      </c>
      <c r="R208" s="534">
        <f>COUNTIFS(X218:X247,"i",V218:V247,"&gt;0")</f>
        <v>0</v>
      </c>
      <c r="S208" s="535">
        <f>SUM(A208:R208)</f>
        <v>0</v>
      </c>
      <c r="T208" s="535"/>
      <c r="U208" s="535"/>
      <c r="V208" s="535"/>
      <c r="W208" s="536"/>
      <c r="X208" s="536"/>
      <c r="Y208" s="536"/>
      <c r="Z208" s="536"/>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83">
        <v>205</v>
      </c>
      <c r="BB208" s="84">
        <f t="shared" si="66"/>
        <v>0</v>
      </c>
      <c r="BC208" s="85">
        <f t="shared" si="67"/>
        <v>0</v>
      </c>
      <c r="BD208" s="86">
        <f t="shared" si="65"/>
        <v>0</v>
      </c>
      <c r="BE208" s="86">
        <f t="shared" si="65"/>
        <v>0</v>
      </c>
      <c r="BF208" s="142"/>
      <c r="BG208" s="77"/>
      <c r="BH208" s="77"/>
      <c r="BI208" s="77"/>
      <c r="BJ208" s="77"/>
      <c r="BK208" s="77"/>
      <c r="BL208" s="77"/>
      <c r="BM208" s="77"/>
      <c r="BN208" s="77"/>
      <c r="BO208" s="77"/>
      <c r="BP208" s="77"/>
      <c r="BQ208" s="77"/>
      <c r="BR208" s="77"/>
      <c r="BS208" s="77"/>
      <c r="BT208" s="77"/>
      <c r="BU208" s="77"/>
      <c r="BV208" s="77"/>
      <c r="BW208" s="77"/>
      <c r="CF208" s="77"/>
      <c r="CI208" s="313"/>
      <c r="CJ208" s="313"/>
    </row>
    <row r="209" spans="1:65" ht="36" customHeight="1">
      <c r="A209" s="1902" t="s">
        <v>87</v>
      </c>
      <c r="B209" s="1902"/>
      <c r="C209" s="1903">
        <f>C166</f>
        <v>0</v>
      </c>
      <c r="D209" s="1903"/>
      <c r="E209" s="1903"/>
      <c r="F209" s="1903"/>
      <c r="G209" s="1903"/>
      <c r="H209" s="1903"/>
      <c r="I209" s="1903"/>
      <c r="J209" s="1903"/>
      <c r="K209" s="1903"/>
      <c r="L209" s="1903"/>
      <c r="M209" s="1903"/>
      <c r="N209" s="1903"/>
      <c r="O209" s="1903"/>
      <c r="P209" s="1903"/>
      <c r="Q209" s="1903"/>
      <c r="R209" s="1903"/>
      <c r="S209" s="1903"/>
      <c r="T209" s="1903"/>
      <c r="U209" s="522"/>
      <c r="V209" s="522"/>
      <c r="W209" s="522"/>
      <c r="X209" s="522"/>
      <c r="Y209" s="522"/>
      <c r="Z209" s="522"/>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83">
        <v>206</v>
      </c>
      <c r="BB209" s="84">
        <f t="shared" si="66"/>
        <v>0</v>
      </c>
      <c r="BC209" s="85">
        <f t="shared" si="67"/>
        <v>0</v>
      </c>
      <c r="BD209" s="86">
        <f t="shared" si="65"/>
        <v>0</v>
      </c>
      <c r="BE209" s="86">
        <f t="shared" si="65"/>
        <v>0</v>
      </c>
    </row>
    <row r="210" spans="1:65" ht="15" customHeight="1">
      <c r="A210" s="1922" t="s">
        <v>86</v>
      </c>
      <c r="B210" s="1922"/>
      <c r="C210" s="1925">
        <f>C167</f>
        <v>0</v>
      </c>
      <c r="D210" s="1925"/>
      <c r="E210" s="1875" t="s">
        <v>18</v>
      </c>
      <c r="F210" s="1925">
        <f>F167</f>
        <v>0</v>
      </c>
      <c r="G210" s="1875" t="s">
        <v>17</v>
      </c>
      <c r="H210" s="1926">
        <f>H167</f>
        <v>0</v>
      </c>
      <c r="I210" s="1875" t="s">
        <v>16</v>
      </c>
      <c r="J210" s="1875" t="s">
        <v>486</v>
      </c>
      <c r="K210" s="1926">
        <f>K167</f>
        <v>0</v>
      </c>
      <c r="L210" s="1875" t="s">
        <v>482</v>
      </c>
      <c r="M210" s="1875" t="s">
        <v>40</v>
      </c>
      <c r="N210" s="1926">
        <f>N167</f>
        <v>0</v>
      </c>
      <c r="O210" s="1875" t="s">
        <v>17</v>
      </c>
      <c r="P210" s="1926">
        <f>P167</f>
        <v>0</v>
      </c>
      <c r="Q210" s="1875" t="s">
        <v>16</v>
      </c>
      <c r="R210" s="1875" t="s">
        <v>486</v>
      </c>
      <c r="S210" s="1926">
        <f>S167</f>
        <v>0</v>
      </c>
      <c r="T210" s="1875" t="s">
        <v>490</v>
      </c>
      <c r="U210" s="1875"/>
      <c r="V210" s="1875"/>
      <c r="W210" s="537">
        <f>W167</f>
        <v>0</v>
      </c>
      <c r="X210" s="511" t="s">
        <v>51</v>
      </c>
      <c r="Y210" s="537">
        <f>Y167</f>
        <v>0</v>
      </c>
      <c r="Z210" s="511" t="s">
        <v>16</v>
      </c>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83">
        <v>207</v>
      </c>
      <c r="BB210" s="84">
        <f t="shared" si="66"/>
        <v>0</v>
      </c>
      <c r="BC210" s="85">
        <f t="shared" si="67"/>
        <v>0</v>
      </c>
      <c r="BD210" s="86">
        <f t="shared" si="65"/>
        <v>0</v>
      </c>
      <c r="BE210" s="86">
        <f t="shared" si="65"/>
        <v>0</v>
      </c>
    </row>
    <row r="211" spans="1:65" ht="15" customHeight="1">
      <c r="A211" s="1902"/>
      <c r="B211" s="1902"/>
      <c r="C211" s="1903"/>
      <c r="D211" s="1903"/>
      <c r="E211" s="1420"/>
      <c r="F211" s="1903"/>
      <c r="G211" s="1420"/>
      <c r="H211" s="1903"/>
      <c r="I211" s="1420"/>
      <c r="J211" s="1420"/>
      <c r="K211" s="1903"/>
      <c r="L211" s="1420"/>
      <c r="M211" s="1420"/>
      <c r="N211" s="1903"/>
      <c r="O211" s="1420"/>
      <c r="P211" s="1903"/>
      <c r="Q211" s="1420"/>
      <c r="R211" s="1420"/>
      <c r="S211" s="1903"/>
      <c r="T211" s="1420"/>
      <c r="U211" s="1420"/>
      <c r="V211" s="1420"/>
      <c r="W211" s="1420" t="s">
        <v>52</v>
      </c>
      <c r="X211" s="1420"/>
      <c r="Y211" s="560" t="str">
        <f>Y168</f>
        <v/>
      </c>
      <c r="Z211" s="525" t="s">
        <v>16</v>
      </c>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83">
        <v>208</v>
      </c>
      <c r="BB211" s="84">
        <f t="shared" si="66"/>
        <v>0</v>
      </c>
      <c r="BC211" s="85">
        <f t="shared" si="67"/>
        <v>0</v>
      </c>
      <c r="BD211" s="86">
        <f t="shared" si="65"/>
        <v>0</v>
      </c>
      <c r="BE211" s="86">
        <f t="shared" si="65"/>
        <v>0</v>
      </c>
    </row>
    <row r="212" spans="1:65" ht="24.95" customHeight="1">
      <c r="A212" s="1923"/>
      <c r="B212" s="1923"/>
      <c r="C212" s="1923"/>
      <c r="D212" s="1923"/>
      <c r="E212" s="1923"/>
      <c r="F212" s="1923"/>
      <c r="G212" s="1923"/>
      <c r="H212" s="1923"/>
      <c r="I212" s="1923"/>
      <c r="J212" s="1923"/>
      <c r="K212" s="1923"/>
      <c r="L212" s="1923"/>
      <c r="M212" s="1923"/>
      <c r="N212" s="1923"/>
      <c r="O212" s="1923"/>
      <c r="P212" s="1923"/>
      <c r="Q212" s="1923"/>
      <c r="R212" s="1923"/>
      <c r="S212" s="1923"/>
      <c r="T212" s="1923"/>
      <c r="U212" s="1923"/>
      <c r="V212" s="1923"/>
      <c r="W212" s="1923"/>
      <c r="X212" s="1923"/>
      <c r="Y212" s="1923"/>
      <c r="Z212" s="192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83">
        <v>209</v>
      </c>
      <c r="BB212" s="84">
        <f t="shared" si="66"/>
        <v>0</v>
      </c>
      <c r="BC212" s="85">
        <f t="shared" si="67"/>
        <v>0</v>
      </c>
      <c r="BD212" s="86">
        <f t="shared" si="65"/>
        <v>0</v>
      </c>
      <c r="BE212" s="86">
        <f t="shared" si="65"/>
        <v>0</v>
      </c>
    </row>
    <row r="213" spans="1:65" ht="13.5" customHeight="1">
      <c r="A213" s="1855" t="s">
        <v>480</v>
      </c>
      <c r="B213" s="1883" t="s">
        <v>166</v>
      </c>
      <c r="C213" s="1884"/>
      <c r="D213" s="1884"/>
      <c r="E213" s="1884"/>
      <c r="F213" s="1884"/>
      <c r="G213" s="1898"/>
      <c r="H213" s="1911" t="s">
        <v>167</v>
      </c>
      <c r="I213" s="1898"/>
      <c r="J213" s="1883" t="s">
        <v>168</v>
      </c>
      <c r="K213" s="1884"/>
      <c r="L213" s="1884"/>
      <c r="M213" s="1885"/>
      <c r="N213" s="1930" t="s">
        <v>491</v>
      </c>
      <c r="O213" s="1883" t="s">
        <v>166</v>
      </c>
      <c r="P213" s="1884"/>
      <c r="Q213" s="1884"/>
      <c r="R213" s="1884"/>
      <c r="S213" s="1884"/>
      <c r="T213" s="1898"/>
      <c r="U213" s="1911" t="s">
        <v>167</v>
      </c>
      <c r="V213" s="1898"/>
      <c r="W213" s="1883" t="s">
        <v>168</v>
      </c>
      <c r="X213" s="1884"/>
      <c r="Y213" s="1884"/>
      <c r="Z213" s="1885"/>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83">
        <v>210</v>
      </c>
      <c r="BB213" s="84">
        <f t="shared" si="66"/>
        <v>0</v>
      </c>
      <c r="BC213" s="85">
        <f t="shared" si="67"/>
        <v>0</v>
      </c>
      <c r="BD213" s="86">
        <f t="shared" si="65"/>
        <v>0</v>
      </c>
      <c r="BE213" s="86">
        <f t="shared" si="65"/>
        <v>0</v>
      </c>
    </row>
    <row r="214" spans="1:65">
      <c r="A214" s="1855"/>
      <c r="B214" s="1913"/>
      <c r="C214" s="1914"/>
      <c r="D214" s="1914"/>
      <c r="E214" s="1914"/>
      <c r="F214" s="1914"/>
      <c r="G214" s="1915"/>
      <c r="H214" s="1886"/>
      <c r="I214" s="1899"/>
      <c r="J214" s="1886"/>
      <c r="K214" s="1887"/>
      <c r="L214" s="1887"/>
      <c r="M214" s="1888"/>
      <c r="N214" s="1931"/>
      <c r="O214" s="1913"/>
      <c r="P214" s="1914"/>
      <c r="Q214" s="1914"/>
      <c r="R214" s="1914"/>
      <c r="S214" s="1914"/>
      <c r="T214" s="1915"/>
      <c r="U214" s="1886"/>
      <c r="V214" s="1899"/>
      <c r="W214" s="1886"/>
      <c r="X214" s="1887"/>
      <c r="Y214" s="1887"/>
      <c r="Z214" s="1888"/>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83">
        <v>211</v>
      </c>
      <c r="BB214" s="84">
        <f t="shared" si="66"/>
        <v>0</v>
      </c>
      <c r="BC214" s="85">
        <f t="shared" si="67"/>
        <v>0</v>
      </c>
      <c r="BD214" s="86">
        <f t="shared" si="65"/>
        <v>0</v>
      </c>
      <c r="BE214" s="86">
        <f t="shared" si="65"/>
        <v>0</v>
      </c>
    </row>
    <row r="215" spans="1:65" ht="26.1" customHeight="1">
      <c r="A215" s="1855"/>
      <c r="B215" s="1913"/>
      <c r="C215" s="1914"/>
      <c r="D215" s="1914"/>
      <c r="E215" s="1914"/>
      <c r="F215" s="1914"/>
      <c r="G215" s="1915"/>
      <c r="H215" s="1924" t="s">
        <v>53</v>
      </c>
      <c r="I215" s="1912" t="s">
        <v>52</v>
      </c>
      <c r="J215" s="1904" t="s">
        <v>543</v>
      </c>
      <c r="K215" s="1889" t="s">
        <v>542</v>
      </c>
      <c r="L215" s="1890"/>
      <c r="M215" s="1891"/>
      <c r="N215" s="1931"/>
      <c r="O215" s="1913"/>
      <c r="P215" s="1914"/>
      <c r="Q215" s="1914"/>
      <c r="R215" s="1914"/>
      <c r="S215" s="1914"/>
      <c r="T215" s="1915"/>
      <c r="U215" s="1924" t="s">
        <v>53</v>
      </c>
      <c r="V215" s="1912" t="s">
        <v>52</v>
      </c>
      <c r="W215" s="1904" t="s">
        <v>543</v>
      </c>
      <c r="X215" s="1889" t="s">
        <v>542</v>
      </c>
      <c r="Y215" s="1890"/>
      <c r="Z215" s="1891"/>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83">
        <v>212</v>
      </c>
      <c r="BB215" s="84">
        <f t="shared" si="66"/>
        <v>0</v>
      </c>
      <c r="BC215" s="85">
        <f t="shared" si="67"/>
        <v>0</v>
      </c>
      <c r="BD215" s="86">
        <f t="shared" si="65"/>
        <v>0</v>
      </c>
      <c r="BE215" s="86">
        <f t="shared" si="65"/>
        <v>0</v>
      </c>
    </row>
    <row r="216" spans="1:65" ht="26.1" customHeight="1">
      <c r="A216" s="1855"/>
      <c r="B216" s="1913"/>
      <c r="C216" s="1914"/>
      <c r="D216" s="1914"/>
      <c r="E216" s="1914"/>
      <c r="F216" s="1914"/>
      <c r="G216" s="1915"/>
      <c r="H216" s="1924"/>
      <c r="I216" s="1912"/>
      <c r="J216" s="1905"/>
      <c r="K216" s="1889"/>
      <c r="L216" s="1890"/>
      <c r="M216" s="1891"/>
      <c r="N216" s="1931"/>
      <c r="O216" s="1913"/>
      <c r="P216" s="1914"/>
      <c r="Q216" s="1914"/>
      <c r="R216" s="1914"/>
      <c r="S216" s="1914"/>
      <c r="T216" s="1915"/>
      <c r="U216" s="1924"/>
      <c r="V216" s="1912"/>
      <c r="W216" s="1905"/>
      <c r="X216" s="1889"/>
      <c r="Y216" s="1890"/>
      <c r="Z216" s="1891"/>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83">
        <v>213</v>
      </c>
      <c r="BB216" s="84">
        <f t="shared" si="66"/>
        <v>0</v>
      </c>
      <c r="BC216" s="85">
        <f t="shared" si="67"/>
        <v>0</v>
      </c>
      <c r="BD216" s="86">
        <f t="shared" si="65"/>
        <v>0</v>
      </c>
      <c r="BE216" s="86">
        <f t="shared" si="65"/>
        <v>0</v>
      </c>
    </row>
    <row r="217" spans="1:65" ht="26.1" customHeight="1">
      <c r="A217" s="1855"/>
      <c r="B217" s="1886"/>
      <c r="C217" s="1887"/>
      <c r="D217" s="1887"/>
      <c r="E217" s="1887"/>
      <c r="F217" s="1887"/>
      <c r="G217" s="1899"/>
      <c r="H217" s="1924"/>
      <c r="I217" s="1912"/>
      <c r="J217" s="1905"/>
      <c r="K217" s="1892"/>
      <c r="L217" s="1893"/>
      <c r="M217" s="1894"/>
      <c r="N217" s="1932"/>
      <c r="O217" s="1886"/>
      <c r="P217" s="1887"/>
      <c r="Q217" s="1887"/>
      <c r="R217" s="1887"/>
      <c r="S217" s="1887"/>
      <c r="T217" s="1899"/>
      <c r="U217" s="1924"/>
      <c r="V217" s="1912"/>
      <c r="W217" s="1905"/>
      <c r="X217" s="1892"/>
      <c r="Y217" s="1893"/>
      <c r="Z217" s="1894"/>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83">
        <v>214</v>
      </c>
      <c r="BB217" s="84">
        <f t="shared" si="66"/>
        <v>0</v>
      </c>
      <c r="BC217" s="85">
        <f t="shared" si="67"/>
        <v>0</v>
      </c>
      <c r="BD217" s="86">
        <f t="shared" si="65"/>
        <v>0</v>
      </c>
      <c r="BE217" s="86">
        <f t="shared" si="65"/>
        <v>0</v>
      </c>
      <c r="BF217" s="194" t="s">
        <v>1370</v>
      </c>
      <c r="BG217" s="211" t="s">
        <v>1371</v>
      </c>
      <c r="BH217" s="211" t="s">
        <v>1372</v>
      </c>
      <c r="BI217" s="211" t="s">
        <v>1369</v>
      </c>
      <c r="BJ217" s="194" t="s">
        <v>1370</v>
      </c>
      <c r="BK217" s="211" t="s">
        <v>1371</v>
      </c>
      <c r="BL217" s="211" t="s">
        <v>1372</v>
      </c>
      <c r="BM217" s="211" t="s">
        <v>1369</v>
      </c>
    </row>
    <row r="218" spans="1:65" ht="24.95" customHeight="1">
      <c r="A218" s="542">
        <v>261</v>
      </c>
      <c r="B218" s="1907"/>
      <c r="C218" s="1908"/>
      <c r="D218" s="1908"/>
      <c r="E218" s="1908"/>
      <c r="F218" s="1908"/>
      <c r="G218" s="1909"/>
      <c r="H218" s="543"/>
      <c r="I218" s="544"/>
      <c r="J218" s="545"/>
      <c r="K218" s="1895"/>
      <c r="L218" s="1896"/>
      <c r="M218" s="1897"/>
      <c r="N218" s="547">
        <v>291</v>
      </c>
      <c r="O218" s="1907"/>
      <c r="P218" s="1908"/>
      <c r="Q218" s="1908"/>
      <c r="R218" s="1908"/>
      <c r="S218" s="1908"/>
      <c r="T218" s="1909"/>
      <c r="U218" s="543"/>
      <c r="V218" s="544"/>
      <c r="W218" s="545"/>
      <c r="X218" s="1895"/>
      <c r="Y218" s="1896"/>
      <c r="Z218" s="189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83">
        <v>215</v>
      </c>
      <c r="BB218" s="84">
        <f t="shared" si="66"/>
        <v>0</v>
      </c>
      <c r="BC218" s="85">
        <f t="shared" si="67"/>
        <v>0</v>
      </c>
      <c r="BD218" s="86">
        <f t="shared" si="65"/>
        <v>0</v>
      </c>
      <c r="BE218" s="86">
        <f t="shared" si="65"/>
        <v>0</v>
      </c>
      <c r="BF218" s="194">
        <v>261</v>
      </c>
      <c r="BG218" s="192">
        <f>H218</f>
        <v>0</v>
      </c>
      <c r="BH218" s="192">
        <f>I218</f>
        <v>0</v>
      </c>
      <c r="BI218" s="192" t="b">
        <v>0</v>
      </c>
      <c r="BJ218" s="212">
        <v>291</v>
      </c>
      <c r="BK218" s="192">
        <f>U218</f>
        <v>0</v>
      </c>
      <c r="BL218" s="192">
        <f>V218</f>
        <v>0</v>
      </c>
      <c r="BM218" s="192" t="b">
        <v>0</v>
      </c>
    </row>
    <row r="219" spans="1:65" ht="24.95" customHeight="1">
      <c r="A219" s="542">
        <v>262</v>
      </c>
      <c r="B219" s="1907"/>
      <c r="C219" s="1908"/>
      <c r="D219" s="1908"/>
      <c r="E219" s="1908"/>
      <c r="F219" s="1908"/>
      <c r="G219" s="1909"/>
      <c r="H219" s="543"/>
      <c r="I219" s="544"/>
      <c r="J219" s="545"/>
      <c r="K219" s="1895"/>
      <c r="L219" s="1896"/>
      <c r="M219" s="1897"/>
      <c r="N219" s="547">
        <v>292</v>
      </c>
      <c r="O219" s="1907"/>
      <c r="P219" s="1908"/>
      <c r="Q219" s="1908"/>
      <c r="R219" s="1908"/>
      <c r="S219" s="1908"/>
      <c r="T219" s="1909"/>
      <c r="U219" s="543"/>
      <c r="V219" s="544"/>
      <c r="W219" s="545"/>
      <c r="X219" s="1895"/>
      <c r="Y219" s="1896"/>
      <c r="Z219" s="189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83">
        <v>216</v>
      </c>
      <c r="BB219" s="84">
        <f t="shared" si="66"/>
        <v>0</v>
      </c>
      <c r="BC219" s="85">
        <f t="shared" si="67"/>
        <v>0</v>
      </c>
      <c r="BD219" s="86">
        <f t="shared" si="65"/>
        <v>0</v>
      </c>
      <c r="BE219" s="86">
        <f t="shared" si="65"/>
        <v>0</v>
      </c>
      <c r="BF219" s="194">
        <v>262</v>
      </c>
      <c r="BG219" s="192">
        <f t="shared" ref="BG219:BG247" si="68">H219</f>
        <v>0</v>
      </c>
      <c r="BH219" s="192">
        <f t="shared" ref="BH219:BH247" si="69">I219</f>
        <v>0</v>
      </c>
      <c r="BI219" s="192" t="b">
        <v>0</v>
      </c>
      <c r="BJ219" s="212">
        <v>292</v>
      </c>
      <c r="BK219" s="192">
        <f t="shared" ref="BK219:BK247" si="70">U219</f>
        <v>0</v>
      </c>
      <c r="BL219" s="192">
        <f t="shared" ref="BL219:BL247" si="71">V219</f>
        <v>0</v>
      </c>
      <c r="BM219" s="192" t="b">
        <v>0</v>
      </c>
    </row>
    <row r="220" spans="1:65" ht="24.95" customHeight="1">
      <c r="A220" s="542">
        <v>263</v>
      </c>
      <c r="B220" s="1907"/>
      <c r="C220" s="1908"/>
      <c r="D220" s="1908"/>
      <c r="E220" s="1908"/>
      <c r="F220" s="1908"/>
      <c r="G220" s="1909"/>
      <c r="H220" s="543"/>
      <c r="I220" s="544"/>
      <c r="J220" s="545"/>
      <c r="K220" s="1895"/>
      <c r="L220" s="1896"/>
      <c r="M220" s="1897"/>
      <c r="N220" s="547">
        <v>293</v>
      </c>
      <c r="O220" s="1907"/>
      <c r="P220" s="1908"/>
      <c r="Q220" s="1908"/>
      <c r="R220" s="1908"/>
      <c r="S220" s="1908"/>
      <c r="T220" s="1909"/>
      <c r="U220" s="543"/>
      <c r="V220" s="544"/>
      <c r="W220" s="545"/>
      <c r="X220" s="1895"/>
      <c r="Y220" s="1896"/>
      <c r="Z220" s="189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83">
        <v>217</v>
      </c>
      <c r="BB220" s="84">
        <f t="shared" si="66"/>
        <v>0</v>
      </c>
      <c r="BC220" s="85">
        <f t="shared" si="67"/>
        <v>0</v>
      </c>
      <c r="BD220" s="86">
        <f t="shared" si="65"/>
        <v>0</v>
      </c>
      <c r="BE220" s="86">
        <f t="shared" si="65"/>
        <v>0</v>
      </c>
      <c r="BF220" s="194">
        <v>263</v>
      </c>
      <c r="BG220" s="192">
        <f t="shared" si="68"/>
        <v>0</v>
      </c>
      <c r="BH220" s="192">
        <f t="shared" si="69"/>
        <v>0</v>
      </c>
      <c r="BI220" s="192" t="b">
        <v>0</v>
      </c>
      <c r="BJ220" s="212">
        <v>293</v>
      </c>
      <c r="BK220" s="192">
        <f t="shared" si="70"/>
        <v>0</v>
      </c>
      <c r="BL220" s="192">
        <f t="shared" si="71"/>
        <v>0</v>
      </c>
      <c r="BM220" s="192" t="b">
        <v>0</v>
      </c>
    </row>
    <row r="221" spans="1:65" ht="24.95" customHeight="1">
      <c r="A221" s="542">
        <v>264</v>
      </c>
      <c r="B221" s="1907"/>
      <c r="C221" s="1908"/>
      <c r="D221" s="1908"/>
      <c r="E221" s="1908"/>
      <c r="F221" s="1908"/>
      <c r="G221" s="1909"/>
      <c r="H221" s="543"/>
      <c r="I221" s="544"/>
      <c r="J221" s="545"/>
      <c r="K221" s="1895"/>
      <c r="L221" s="1896"/>
      <c r="M221" s="1897"/>
      <c r="N221" s="547">
        <v>294</v>
      </c>
      <c r="O221" s="1907"/>
      <c r="P221" s="1908"/>
      <c r="Q221" s="1908"/>
      <c r="R221" s="1908"/>
      <c r="S221" s="1908"/>
      <c r="T221" s="1909"/>
      <c r="U221" s="543"/>
      <c r="V221" s="544"/>
      <c r="W221" s="545"/>
      <c r="X221" s="1895"/>
      <c r="Y221" s="1896"/>
      <c r="Z221" s="189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83">
        <v>218</v>
      </c>
      <c r="BB221" s="84">
        <f t="shared" si="66"/>
        <v>0</v>
      </c>
      <c r="BC221" s="85">
        <f t="shared" si="67"/>
        <v>0</v>
      </c>
      <c r="BD221" s="86">
        <f t="shared" si="65"/>
        <v>0</v>
      </c>
      <c r="BE221" s="86">
        <f t="shared" si="65"/>
        <v>0</v>
      </c>
      <c r="BF221" s="194">
        <v>264</v>
      </c>
      <c r="BG221" s="192">
        <f t="shared" si="68"/>
        <v>0</v>
      </c>
      <c r="BH221" s="192">
        <f t="shared" si="69"/>
        <v>0</v>
      </c>
      <c r="BI221" s="192" t="b">
        <v>0</v>
      </c>
      <c r="BJ221" s="212">
        <v>294</v>
      </c>
      <c r="BK221" s="192">
        <f t="shared" si="70"/>
        <v>0</v>
      </c>
      <c r="BL221" s="192">
        <f t="shared" si="71"/>
        <v>0</v>
      </c>
      <c r="BM221" s="192" t="b">
        <v>0</v>
      </c>
    </row>
    <row r="222" spans="1:65" ht="24.95" customHeight="1">
      <c r="A222" s="542">
        <v>265</v>
      </c>
      <c r="B222" s="1907"/>
      <c r="C222" s="1908"/>
      <c r="D222" s="1908"/>
      <c r="E222" s="1908"/>
      <c r="F222" s="1908"/>
      <c r="G222" s="1909"/>
      <c r="H222" s="543"/>
      <c r="I222" s="544"/>
      <c r="J222" s="545"/>
      <c r="K222" s="1895"/>
      <c r="L222" s="1896"/>
      <c r="M222" s="1897"/>
      <c r="N222" s="547">
        <v>295</v>
      </c>
      <c r="O222" s="1907"/>
      <c r="P222" s="1908"/>
      <c r="Q222" s="1908"/>
      <c r="R222" s="1908"/>
      <c r="S222" s="1908"/>
      <c r="T222" s="1909"/>
      <c r="U222" s="543"/>
      <c r="V222" s="544"/>
      <c r="W222" s="545"/>
      <c r="X222" s="1895"/>
      <c r="Y222" s="1896"/>
      <c r="Z222" s="1897"/>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83">
        <v>219</v>
      </c>
      <c r="BB222" s="84">
        <f t="shared" si="66"/>
        <v>0</v>
      </c>
      <c r="BC222" s="85">
        <f t="shared" si="67"/>
        <v>0</v>
      </c>
      <c r="BD222" s="86">
        <f t="shared" si="65"/>
        <v>0</v>
      </c>
      <c r="BE222" s="86">
        <f t="shared" si="65"/>
        <v>0</v>
      </c>
      <c r="BF222" s="194">
        <v>265</v>
      </c>
      <c r="BG222" s="192">
        <f t="shared" si="68"/>
        <v>0</v>
      </c>
      <c r="BH222" s="192">
        <f t="shared" si="69"/>
        <v>0</v>
      </c>
      <c r="BI222" s="192" t="b">
        <v>0</v>
      </c>
      <c r="BJ222" s="212">
        <v>295</v>
      </c>
      <c r="BK222" s="192">
        <f t="shared" si="70"/>
        <v>0</v>
      </c>
      <c r="BL222" s="192">
        <f t="shared" si="71"/>
        <v>0</v>
      </c>
      <c r="BM222" s="192" t="b">
        <v>0</v>
      </c>
    </row>
    <row r="223" spans="1:65" ht="24.95" customHeight="1">
      <c r="A223" s="542">
        <v>266</v>
      </c>
      <c r="B223" s="1907"/>
      <c r="C223" s="1908"/>
      <c r="D223" s="1908"/>
      <c r="E223" s="1908"/>
      <c r="F223" s="1908"/>
      <c r="G223" s="1909"/>
      <c r="H223" s="543"/>
      <c r="I223" s="544"/>
      <c r="J223" s="545"/>
      <c r="K223" s="1895"/>
      <c r="L223" s="1896"/>
      <c r="M223" s="1897"/>
      <c r="N223" s="547">
        <v>296</v>
      </c>
      <c r="O223" s="1907"/>
      <c r="P223" s="1908"/>
      <c r="Q223" s="1908"/>
      <c r="R223" s="1908"/>
      <c r="S223" s="1908"/>
      <c r="T223" s="1909"/>
      <c r="U223" s="543"/>
      <c r="V223" s="544"/>
      <c r="W223" s="545"/>
      <c r="X223" s="1895"/>
      <c r="Y223" s="1896"/>
      <c r="Z223" s="1897"/>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83">
        <v>220</v>
      </c>
      <c r="BB223" s="84">
        <f t="shared" si="66"/>
        <v>0</v>
      </c>
      <c r="BC223" s="85">
        <f t="shared" si="67"/>
        <v>0</v>
      </c>
      <c r="BD223" s="86">
        <f t="shared" si="65"/>
        <v>0</v>
      </c>
      <c r="BE223" s="86">
        <f t="shared" si="65"/>
        <v>0</v>
      </c>
      <c r="BF223" s="194">
        <v>266</v>
      </c>
      <c r="BG223" s="192">
        <f t="shared" si="68"/>
        <v>0</v>
      </c>
      <c r="BH223" s="192">
        <f t="shared" si="69"/>
        <v>0</v>
      </c>
      <c r="BI223" s="192" t="b">
        <v>0</v>
      </c>
      <c r="BJ223" s="212">
        <v>296</v>
      </c>
      <c r="BK223" s="192">
        <f t="shared" si="70"/>
        <v>0</v>
      </c>
      <c r="BL223" s="192">
        <f t="shared" si="71"/>
        <v>0</v>
      </c>
      <c r="BM223" s="192" t="b">
        <v>0</v>
      </c>
    </row>
    <row r="224" spans="1:65" ht="24.95" customHeight="1">
      <c r="A224" s="542">
        <v>267</v>
      </c>
      <c r="B224" s="1907"/>
      <c r="C224" s="1908"/>
      <c r="D224" s="1908"/>
      <c r="E224" s="1908"/>
      <c r="F224" s="1908"/>
      <c r="G224" s="1909"/>
      <c r="H224" s="543"/>
      <c r="I224" s="544"/>
      <c r="J224" s="545"/>
      <c r="K224" s="1895"/>
      <c r="L224" s="1896"/>
      <c r="M224" s="1897"/>
      <c r="N224" s="547">
        <v>297</v>
      </c>
      <c r="O224" s="1907"/>
      <c r="P224" s="1908"/>
      <c r="Q224" s="1908"/>
      <c r="R224" s="1908"/>
      <c r="S224" s="1908"/>
      <c r="T224" s="1909"/>
      <c r="U224" s="543"/>
      <c r="V224" s="544"/>
      <c r="W224" s="545"/>
      <c r="X224" s="1895"/>
      <c r="Y224" s="1896"/>
      <c r="Z224" s="1897"/>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83">
        <v>221</v>
      </c>
      <c r="BB224" s="84">
        <f t="shared" si="66"/>
        <v>0</v>
      </c>
      <c r="BC224" s="85">
        <f t="shared" si="67"/>
        <v>0</v>
      </c>
      <c r="BD224" s="86">
        <f t="shared" si="65"/>
        <v>0</v>
      </c>
      <c r="BE224" s="86">
        <f t="shared" si="65"/>
        <v>0</v>
      </c>
      <c r="BF224" s="194">
        <v>267</v>
      </c>
      <c r="BG224" s="192">
        <f t="shared" si="68"/>
        <v>0</v>
      </c>
      <c r="BH224" s="192">
        <f t="shared" si="69"/>
        <v>0</v>
      </c>
      <c r="BI224" s="192" t="b">
        <v>0</v>
      </c>
      <c r="BJ224" s="212">
        <v>297</v>
      </c>
      <c r="BK224" s="192">
        <f t="shared" si="70"/>
        <v>0</v>
      </c>
      <c r="BL224" s="192">
        <f t="shared" si="71"/>
        <v>0</v>
      </c>
      <c r="BM224" s="192" t="b">
        <v>0</v>
      </c>
    </row>
    <row r="225" spans="1:65" ht="24.95" customHeight="1">
      <c r="A225" s="542">
        <v>268</v>
      </c>
      <c r="B225" s="1907"/>
      <c r="C225" s="1908"/>
      <c r="D225" s="1908"/>
      <c r="E225" s="1908"/>
      <c r="F225" s="1908"/>
      <c r="G225" s="1909"/>
      <c r="H225" s="543"/>
      <c r="I225" s="544"/>
      <c r="J225" s="545"/>
      <c r="K225" s="1895"/>
      <c r="L225" s="1896"/>
      <c r="M225" s="1897"/>
      <c r="N225" s="547">
        <v>298</v>
      </c>
      <c r="O225" s="1907"/>
      <c r="P225" s="1908"/>
      <c r="Q225" s="1908"/>
      <c r="R225" s="1908"/>
      <c r="S225" s="1908"/>
      <c r="T225" s="1909"/>
      <c r="U225" s="543"/>
      <c r="V225" s="544"/>
      <c r="W225" s="545"/>
      <c r="X225" s="1895"/>
      <c r="Y225" s="1896"/>
      <c r="Z225" s="1897"/>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83">
        <v>222</v>
      </c>
      <c r="BB225" s="84">
        <f t="shared" si="66"/>
        <v>0</v>
      </c>
      <c r="BC225" s="85">
        <f t="shared" si="67"/>
        <v>0</v>
      </c>
      <c r="BD225" s="86">
        <f t="shared" si="65"/>
        <v>0</v>
      </c>
      <c r="BE225" s="86">
        <f t="shared" si="65"/>
        <v>0</v>
      </c>
      <c r="BF225" s="194">
        <v>268</v>
      </c>
      <c r="BG225" s="192">
        <f t="shared" si="68"/>
        <v>0</v>
      </c>
      <c r="BH225" s="192">
        <f t="shared" si="69"/>
        <v>0</v>
      </c>
      <c r="BI225" s="192" t="b">
        <v>0</v>
      </c>
      <c r="BJ225" s="212">
        <v>298</v>
      </c>
      <c r="BK225" s="192">
        <f t="shared" si="70"/>
        <v>0</v>
      </c>
      <c r="BL225" s="192">
        <f t="shared" si="71"/>
        <v>0</v>
      </c>
      <c r="BM225" s="192" t="b">
        <v>0</v>
      </c>
    </row>
    <row r="226" spans="1:65" ht="24.95" customHeight="1">
      <c r="A226" s="542">
        <v>269</v>
      </c>
      <c r="B226" s="1907"/>
      <c r="C226" s="1908"/>
      <c r="D226" s="1908"/>
      <c r="E226" s="1908"/>
      <c r="F226" s="1908"/>
      <c r="G226" s="1909"/>
      <c r="H226" s="543"/>
      <c r="I226" s="544"/>
      <c r="J226" s="545"/>
      <c r="K226" s="1895"/>
      <c r="L226" s="1896"/>
      <c r="M226" s="1897"/>
      <c r="N226" s="547">
        <v>299</v>
      </c>
      <c r="O226" s="1907"/>
      <c r="P226" s="1908"/>
      <c r="Q226" s="1908"/>
      <c r="R226" s="1908"/>
      <c r="S226" s="1908"/>
      <c r="T226" s="1909"/>
      <c r="U226" s="543"/>
      <c r="V226" s="544"/>
      <c r="W226" s="545"/>
      <c r="X226" s="1895"/>
      <c r="Y226" s="1896"/>
      <c r="Z226" s="1897"/>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83">
        <v>223</v>
      </c>
      <c r="BB226" s="84">
        <f t="shared" si="66"/>
        <v>0</v>
      </c>
      <c r="BC226" s="85">
        <f t="shared" si="67"/>
        <v>0</v>
      </c>
      <c r="BD226" s="86">
        <f t="shared" si="65"/>
        <v>0</v>
      </c>
      <c r="BE226" s="86">
        <f t="shared" si="65"/>
        <v>0</v>
      </c>
      <c r="BF226" s="194">
        <v>269</v>
      </c>
      <c r="BG226" s="192">
        <f t="shared" si="68"/>
        <v>0</v>
      </c>
      <c r="BH226" s="192">
        <f t="shared" si="69"/>
        <v>0</v>
      </c>
      <c r="BI226" s="192" t="b">
        <v>0</v>
      </c>
      <c r="BJ226" s="212">
        <v>299</v>
      </c>
      <c r="BK226" s="192">
        <f t="shared" si="70"/>
        <v>0</v>
      </c>
      <c r="BL226" s="192">
        <f t="shared" si="71"/>
        <v>0</v>
      </c>
      <c r="BM226" s="192" t="b">
        <v>0</v>
      </c>
    </row>
    <row r="227" spans="1:65" ht="24.95" customHeight="1">
      <c r="A227" s="542">
        <v>270</v>
      </c>
      <c r="B227" s="1907"/>
      <c r="C227" s="1908"/>
      <c r="D227" s="1908"/>
      <c r="E227" s="1908"/>
      <c r="F227" s="1908"/>
      <c r="G227" s="1909"/>
      <c r="H227" s="543"/>
      <c r="I227" s="544"/>
      <c r="J227" s="545"/>
      <c r="K227" s="1895"/>
      <c r="L227" s="1896"/>
      <c r="M227" s="1897"/>
      <c r="N227" s="547">
        <v>300</v>
      </c>
      <c r="O227" s="1907"/>
      <c r="P227" s="1908"/>
      <c r="Q227" s="1908"/>
      <c r="R227" s="1908"/>
      <c r="S227" s="1908"/>
      <c r="T227" s="1909"/>
      <c r="U227" s="543"/>
      <c r="V227" s="544"/>
      <c r="W227" s="545"/>
      <c r="X227" s="1895"/>
      <c r="Y227" s="1896"/>
      <c r="Z227" s="1897"/>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83">
        <v>224</v>
      </c>
      <c r="BB227" s="84">
        <f t="shared" si="66"/>
        <v>0</v>
      </c>
      <c r="BC227" s="85">
        <f t="shared" si="67"/>
        <v>0</v>
      </c>
      <c r="BD227" s="86">
        <f t="shared" si="65"/>
        <v>0</v>
      </c>
      <c r="BE227" s="86">
        <f t="shared" si="65"/>
        <v>0</v>
      </c>
      <c r="BF227" s="194">
        <v>270</v>
      </c>
      <c r="BG227" s="192">
        <f t="shared" si="68"/>
        <v>0</v>
      </c>
      <c r="BH227" s="192">
        <f t="shared" si="69"/>
        <v>0</v>
      </c>
      <c r="BI227" s="192" t="b">
        <v>0</v>
      </c>
      <c r="BJ227" s="212">
        <v>300</v>
      </c>
      <c r="BK227" s="192">
        <f t="shared" si="70"/>
        <v>0</v>
      </c>
      <c r="BL227" s="192">
        <f t="shared" si="71"/>
        <v>0</v>
      </c>
      <c r="BM227" s="192" t="b">
        <v>0</v>
      </c>
    </row>
    <row r="228" spans="1:65" ht="24.95" customHeight="1">
      <c r="A228" s="542">
        <v>271</v>
      </c>
      <c r="B228" s="1907"/>
      <c r="C228" s="1908"/>
      <c r="D228" s="1908"/>
      <c r="E228" s="1908"/>
      <c r="F228" s="1908"/>
      <c r="G228" s="1909"/>
      <c r="H228" s="543"/>
      <c r="I228" s="544"/>
      <c r="J228" s="545"/>
      <c r="K228" s="1895"/>
      <c r="L228" s="1896"/>
      <c r="M228" s="1897"/>
      <c r="N228" s="547">
        <v>301</v>
      </c>
      <c r="O228" s="1907"/>
      <c r="P228" s="1908"/>
      <c r="Q228" s="1908"/>
      <c r="R228" s="1908"/>
      <c r="S228" s="1908"/>
      <c r="T228" s="1909"/>
      <c r="U228" s="543"/>
      <c r="V228" s="544"/>
      <c r="W228" s="545"/>
      <c r="X228" s="1895"/>
      <c r="Y228" s="1896"/>
      <c r="Z228" s="1897"/>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83">
        <v>225</v>
      </c>
      <c r="BB228" s="84">
        <f t="shared" si="66"/>
        <v>0</v>
      </c>
      <c r="BC228" s="85">
        <f t="shared" si="67"/>
        <v>0</v>
      </c>
      <c r="BD228" s="86">
        <f t="shared" si="65"/>
        <v>0</v>
      </c>
      <c r="BE228" s="86">
        <f t="shared" si="65"/>
        <v>0</v>
      </c>
      <c r="BF228" s="194">
        <v>271</v>
      </c>
      <c r="BG228" s="192">
        <f t="shared" si="68"/>
        <v>0</v>
      </c>
      <c r="BH228" s="192">
        <f t="shared" si="69"/>
        <v>0</v>
      </c>
      <c r="BI228" s="192" t="b">
        <v>0</v>
      </c>
      <c r="BJ228" s="212">
        <v>301</v>
      </c>
      <c r="BK228" s="192">
        <f t="shared" si="70"/>
        <v>0</v>
      </c>
      <c r="BL228" s="192">
        <f t="shared" si="71"/>
        <v>0</v>
      </c>
      <c r="BM228" s="192" t="b">
        <v>0</v>
      </c>
    </row>
    <row r="229" spans="1:65" ht="24.95" customHeight="1">
      <c r="A229" s="542">
        <v>272</v>
      </c>
      <c r="B229" s="1907"/>
      <c r="C229" s="1908"/>
      <c r="D229" s="1908"/>
      <c r="E229" s="1908"/>
      <c r="F229" s="1908"/>
      <c r="G229" s="1909"/>
      <c r="H229" s="543"/>
      <c r="I229" s="544"/>
      <c r="J229" s="545"/>
      <c r="K229" s="1895"/>
      <c r="L229" s="1896"/>
      <c r="M229" s="1897"/>
      <c r="N229" s="547">
        <v>302</v>
      </c>
      <c r="O229" s="1907"/>
      <c r="P229" s="1908"/>
      <c r="Q229" s="1908"/>
      <c r="R229" s="1908"/>
      <c r="S229" s="1908"/>
      <c r="T229" s="1909"/>
      <c r="U229" s="543"/>
      <c r="V229" s="544"/>
      <c r="W229" s="545"/>
      <c r="X229" s="1895"/>
      <c r="Y229" s="1896"/>
      <c r="Z229" s="1897"/>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83">
        <v>226</v>
      </c>
      <c r="BB229" s="84">
        <f t="shared" si="66"/>
        <v>0</v>
      </c>
      <c r="BC229" s="85">
        <f t="shared" si="67"/>
        <v>0</v>
      </c>
      <c r="BD229" s="86">
        <f t="shared" si="65"/>
        <v>0</v>
      </c>
      <c r="BE229" s="86">
        <f t="shared" si="65"/>
        <v>0</v>
      </c>
      <c r="BF229" s="194">
        <v>272</v>
      </c>
      <c r="BG229" s="192">
        <f t="shared" si="68"/>
        <v>0</v>
      </c>
      <c r="BH229" s="192">
        <f t="shared" si="69"/>
        <v>0</v>
      </c>
      <c r="BI229" s="192" t="b">
        <v>0</v>
      </c>
      <c r="BJ229" s="212">
        <v>302</v>
      </c>
      <c r="BK229" s="192">
        <f t="shared" si="70"/>
        <v>0</v>
      </c>
      <c r="BL229" s="192">
        <f t="shared" si="71"/>
        <v>0</v>
      </c>
      <c r="BM229" s="192" t="b">
        <v>0</v>
      </c>
    </row>
    <row r="230" spans="1:65" ht="24.95" customHeight="1">
      <c r="A230" s="542">
        <v>273</v>
      </c>
      <c r="B230" s="1907"/>
      <c r="C230" s="1908"/>
      <c r="D230" s="1908"/>
      <c r="E230" s="1908"/>
      <c r="F230" s="1908"/>
      <c r="G230" s="1909"/>
      <c r="H230" s="543"/>
      <c r="I230" s="544"/>
      <c r="J230" s="545"/>
      <c r="K230" s="1895"/>
      <c r="L230" s="1896"/>
      <c r="M230" s="1897"/>
      <c r="N230" s="547">
        <v>303</v>
      </c>
      <c r="O230" s="1907"/>
      <c r="P230" s="1908"/>
      <c r="Q230" s="1908"/>
      <c r="R230" s="1908"/>
      <c r="S230" s="1908"/>
      <c r="T230" s="1909"/>
      <c r="U230" s="543"/>
      <c r="V230" s="544"/>
      <c r="W230" s="545"/>
      <c r="X230" s="1895"/>
      <c r="Y230" s="1896"/>
      <c r="Z230" s="1897"/>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83">
        <v>227</v>
      </c>
      <c r="BB230" s="84">
        <f t="shared" si="66"/>
        <v>0</v>
      </c>
      <c r="BC230" s="85">
        <f t="shared" si="67"/>
        <v>0</v>
      </c>
      <c r="BD230" s="86">
        <f t="shared" si="65"/>
        <v>0</v>
      </c>
      <c r="BE230" s="86">
        <f t="shared" si="65"/>
        <v>0</v>
      </c>
      <c r="BF230" s="194">
        <v>273</v>
      </c>
      <c r="BG230" s="192">
        <f t="shared" si="68"/>
        <v>0</v>
      </c>
      <c r="BH230" s="192">
        <f t="shared" si="69"/>
        <v>0</v>
      </c>
      <c r="BI230" s="192" t="b">
        <v>0</v>
      </c>
      <c r="BJ230" s="212">
        <v>303</v>
      </c>
      <c r="BK230" s="192">
        <f t="shared" si="70"/>
        <v>0</v>
      </c>
      <c r="BL230" s="192">
        <f t="shared" si="71"/>
        <v>0</v>
      </c>
      <c r="BM230" s="192" t="b">
        <v>0</v>
      </c>
    </row>
    <row r="231" spans="1:65" ht="24.95" customHeight="1">
      <c r="A231" s="542">
        <v>274</v>
      </c>
      <c r="B231" s="1907"/>
      <c r="C231" s="1908"/>
      <c r="D231" s="1908"/>
      <c r="E231" s="1908"/>
      <c r="F231" s="1908"/>
      <c r="G231" s="1909"/>
      <c r="H231" s="543"/>
      <c r="I231" s="544"/>
      <c r="J231" s="545"/>
      <c r="K231" s="1895"/>
      <c r="L231" s="1896"/>
      <c r="M231" s="1897"/>
      <c r="N231" s="547">
        <v>304</v>
      </c>
      <c r="O231" s="1907"/>
      <c r="P231" s="1908"/>
      <c r="Q231" s="1908"/>
      <c r="R231" s="1908"/>
      <c r="S231" s="1908"/>
      <c r="T231" s="1909"/>
      <c r="U231" s="543"/>
      <c r="V231" s="544"/>
      <c r="W231" s="545"/>
      <c r="X231" s="1895"/>
      <c r="Y231" s="1896"/>
      <c r="Z231" s="1897"/>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83">
        <v>228</v>
      </c>
      <c r="BB231" s="84">
        <f t="shared" si="66"/>
        <v>0</v>
      </c>
      <c r="BC231" s="85">
        <f t="shared" si="67"/>
        <v>0</v>
      </c>
      <c r="BD231" s="86">
        <f t="shared" si="65"/>
        <v>0</v>
      </c>
      <c r="BE231" s="86">
        <f t="shared" si="65"/>
        <v>0</v>
      </c>
      <c r="BF231" s="194">
        <v>274</v>
      </c>
      <c r="BG231" s="192">
        <f t="shared" si="68"/>
        <v>0</v>
      </c>
      <c r="BH231" s="192">
        <f t="shared" si="69"/>
        <v>0</v>
      </c>
      <c r="BI231" s="192" t="b">
        <v>0</v>
      </c>
      <c r="BJ231" s="212">
        <v>304</v>
      </c>
      <c r="BK231" s="192">
        <f t="shared" si="70"/>
        <v>0</v>
      </c>
      <c r="BL231" s="192">
        <f t="shared" si="71"/>
        <v>0</v>
      </c>
      <c r="BM231" s="192" t="b">
        <v>0</v>
      </c>
    </row>
    <row r="232" spans="1:65" ht="24.95" customHeight="1">
      <c r="A232" s="542">
        <v>275</v>
      </c>
      <c r="B232" s="1907"/>
      <c r="C232" s="1908"/>
      <c r="D232" s="1908"/>
      <c r="E232" s="1908"/>
      <c r="F232" s="1908"/>
      <c r="G232" s="1909"/>
      <c r="H232" s="543"/>
      <c r="I232" s="544"/>
      <c r="J232" s="545"/>
      <c r="K232" s="1895"/>
      <c r="L232" s="1896"/>
      <c r="M232" s="1897"/>
      <c r="N232" s="547">
        <v>305</v>
      </c>
      <c r="O232" s="1907"/>
      <c r="P232" s="1908"/>
      <c r="Q232" s="1908"/>
      <c r="R232" s="1908"/>
      <c r="S232" s="1908"/>
      <c r="T232" s="1909"/>
      <c r="U232" s="543"/>
      <c r="V232" s="544"/>
      <c r="W232" s="545"/>
      <c r="X232" s="1895"/>
      <c r="Y232" s="1896"/>
      <c r="Z232" s="1897"/>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83">
        <v>229</v>
      </c>
      <c r="BB232" s="84">
        <f t="shared" si="66"/>
        <v>0</v>
      </c>
      <c r="BC232" s="85">
        <f t="shared" si="67"/>
        <v>0</v>
      </c>
      <c r="BD232" s="86">
        <f t="shared" si="65"/>
        <v>0</v>
      </c>
      <c r="BE232" s="86">
        <f t="shared" si="65"/>
        <v>0</v>
      </c>
      <c r="BF232" s="194">
        <v>275</v>
      </c>
      <c r="BG232" s="192">
        <f t="shared" si="68"/>
        <v>0</v>
      </c>
      <c r="BH232" s="192">
        <f t="shared" si="69"/>
        <v>0</v>
      </c>
      <c r="BI232" s="192" t="b">
        <v>0</v>
      </c>
      <c r="BJ232" s="212">
        <v>305</v>
      </c>
      <c r="BK232" s="192">
        <f t="shared" si="70"/>
        <v>0</v>
      </c>
      <c r="BL232" s="192">
        <f t="shared" si="71"/>
        <v>0</v>
      </c>
      <c r="BM232" s="192" t="b">
        <v>0</v>
      </c>
    </row>
    <row r="233" spans="1:65" ht="24.95" customHeight="1">
      <c r="A233" s="542">
        <v>276</v>
      </c>
      <c r="B233" s="1907"/>
      <c r="C233" s="1908"/>
      <c r="D233" s="1908"/>
      <c r="E233" s="1908"/>
      <c r="F233" s="1908"/>
      <c r="G233" s="1909"/>
      <c r="H233" s="543"/>
      <c r="I233" s="544"/>
      <c r="J233" s="545"/>
      <c r="K233" s="1895"/>
      <c r="L233" s="1896"/>
      <c r="M233" s="1897"/>
      <c r="N233" s="547">
        <v>306</v>
      </c>
      <c r="O233" s="1907"/>
      <c r="P233" s="1908"/>
      <c r="Q233" s="1908"/>
      <c r="R233" s="1908"/>
      <c r="S233" s="1908"/>
      <c r="T233" s="1909"/>
      <c r="U233" s="543"/>
      <c r="V233" s="544"/>
      <c r="W233" s="545"/>
      <c r="X233" s="1895"/>
      <c r="Y233" s="1896"/>
      <c r="Z233" s="1897"/>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83">
        <v>230</v>
      </c>
      <c r="BB233" s="84">
        <f t="shared" si="66"/>
        <v>0</v>
      </c>
      <c r="BC233" s="85">
        <f t="shared" si="67"/>
        <v>0</v>
      </c>
      <c r="BD233" s="86">
        <f t="shared" si="65"/>
        <v>0</v>
      </c>
      <c r="BE233" s="86">
        <f t="shared" si="65"/>
        <v>0</v>
      </c>
      <c r="BF233" s="194">
        <v>276</v>
      </c>
      <c r="BG233" s="192">
        <f t="shared" si="68"/>
        <v>0</v>
      </c>
      <c r="BH233" s="192">
        <f t="shared" si="69"/>
        <v>0</v>
      </c>
      <c r="BI233" s="192" t="b">
        <v>0</v>
      </c>
      <c r="BJ233" s="212">
        <v>306</v>
      </c>
      <c r="BK233" s="192">
        <f t="shared" si="70"/>
        <v>0</v>
      </c>
      <c r="BL233" s="192">
        <f t="shared" si="71"/>
        <v>0</v>
      </c>
      <c r="BM233" s="192" t="b">
        <v>0</v>
      </c>
    </row>
    <row r="234" spans="1:65" ht="24.95" customHeight="1">
      <c r="A234" s="542">
        <v>277</v>
      </c>
      <c r="B234" s="1907"/>
      <c r="C234" s="1908"/>
      <c r="D234" s="1908"/>
      <c r="E234" s="1908"/>
      <c r="F234" s="1908"/>
      <c r="G234" s="1909"/>
      <c r="H234" s="543"/>
      <c r="I234" s="544"/>
      <c r="J234" s="545"/>
      <c r="K234" s="1895"/>
      <c r="L234" s="1896"/>
      <c r="M234" s="1897"/>
      <c r="N234" s="547">
        <v>307</v>
      </c>
      <c r="O234" s="1907"/>
      <c r="P234" s="1908"/>
      <c r="Q234" s="1908"/>
      <c r="R234" s="1908"/>
      <c r="S234" s="1908"/>
      <c r="T234" s="1909"/>
      <c r="U234" s="543"/>
      <c r="V234" s="544"/>
      <c r="W234" s="545"/>
      <c r="X234" s="1895"/>
      <c r="Y234" s="1896"/>
      <c r="Z234" s="1897"/>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83">
        <v>231</v>
      </c>
      <c r="BB234" s="84">
        <f t="shared" ref="BB234:BB263" si="72">COUNTA(U175:V175)</f>
        <v>0</v>
      </c>
      <c r="BC234" s="85">
        <f t="shared" ref="BC234:BC263" si="73">COUNTA(X175)</f>
        <v>0</v>
      </c>
      <c r="BD234" s="86">
        <f t="shared" ref="BD234:BE249" si="74">BB234-COUNTA(H175)</f>
        <v>0</v>
      </c>
      <c r="BE234" s="86">
        <f t="shared" si="74"/>
        <v>0</v>
      </c>
      <c r="BF234" s="194">
        <v>277</v>
      </c>
      <c r="BG234" s="192">
        <f t="shared" si="68"/>
        <v>0</v>
      </c>
      <c r="BH234" s="192">
        <f t="shared" si="69"/>
        <v>0</v>
      </c>
      <c r="BI234" s="192" t="b">
        <v>0</v>
      </c>
      <c r="BJ234" s="212">
        <v>307</v>
      </c>
      <c r="BK234" s="192">
        <f t="shared" si="70"/>
        <v>0</v>
      </c>
      <c r="BL234" s="192">
        <f t="shared" si="71"/>
        <v>0</v>
      </c>
      <c r="BM234" s="192" t="b">
        <v>0</v>
      </c>
    </row>
    <row r="235" spans="1:65" ht="24.95" customHeight="1">
      <c r="A235" s="542">
        <v>278</v>
      </c>
      <c r="B235" s="1907"/>
      <c r="C235" s="1908"/>
      <c r="D235" s="1908"/>
      <c r="E235" s="1908"/>
      <c r="F235" s="1908"/>
      <c r="G235" s="1909"/>
      <c r="H235" s="543"/>
      <c r="I235" s="544"/>
      <c r="J235" s="545"/>
      <c r="K235" s="1895"/>
      <c r="L235" s="1896"/>
      <c r="M235" s="1897"/>
      <c r="N235" s="547">
        <v>308</v>
      </c>
      <c r="O235" s="1907"/>
      <c r="P235" s="1908"/>
      <c r="Q235" s="1908"/>
      <c r="R235" s="1908"/>
      <c r="S235" s="1908"/>
      <c r="T235" s="1909"/>
      <c r="U235" s="543"/>
      <c r="V235" s="544"/>
      <c r="W235" s="545"/>
      <c r="X235" s="1895"/>
      <c r="Y235" s="1896"/>
      <c r="Z235" s="1897"/>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83">
        <v>232</v>
      </c>
      <c r="BB235" s="84">
        <f t="shared" si="72"/>
        <v>0</v>
      </c>
      <c r="BC235" s="85">
        <f t="shared" si="73"/>
        <v>0</v>
      </c>
      <c r="BD235" s="86">
        <f t="shared" si="74"/>
        <v>0</v>
      </c>
      <c r="BE235" s="86">
        <f t="shared" si="74"/>
        <v>0</v>
      </c>
      <c r="BF235" s="194">
        <v>278</v>
      </c>
      <c r="BG235" s="192">
        <f t="shared" si="68"/>
        <v>0</v>
      </c>
      <c r="BH235" s="192">
        <f t="shared" si="69"/>
        <v>0</v>
      </c>
      <c r="BI235" s="192" t="b">
        <v>0</v>
      </c>
      <c r="BJ235" s="212">
        <v>308</v>
      </c>
      <c r="BK235" s="192">
        <f t="shared" si="70"/>
        <v>0</v>
      </c>
      <c r="BL235" s="192">
        <f t="shared" si="71"/>
        <v>0</v>
      </c>
      <c r="BM235" s="192" t="b">
        <v>0</v>
      </c>
    </row>
    <row r="236" spans="1:65" ht="24.95" customHeight="1">
      <c r="A236" s="542">
        <v>279</v>
      </c>
      <c r="B236" s="1907"/>
      <c r="C236" s="1908"/>
      <c r="D236" s="1908"/>
      <c r="E236" s="1908"/>
      <c r="F236" s="1908"/>
      <c r="G236" s="1909"/>
      <c r="H236" s="543"/>
      <c r="I236" s="544"/>
      <c r="J236" s="545"/>
      <c r="K236" s="1895"/>
      <c r="L236" s="1896"/>
      <c r="M236" s="1897"/>
      <c r="N236" s="547">
        <v>309</v>
      </c>
      <c r="O236" s="1907"/>
      <c r="P236" s="1908"/>
      <c r="Q236" s="1908"/>
      <c r="R236" s="1908"/>
      <c r="S236" s="1908"/>
      <c r="T236" s="1909"/>
      <c r="U236" s="543"/>
      <c r="V236" s="544"/>
      <c r="W236" s="545"/>
      <c r="X236" s="1895"/>
      <c r="Y236" s="1896"/>
      <c r="Z236" s="1897"/>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83">
        <v>233</v>
      </c>
      <c r="BB236" s="84">
        <f t="shared" si="72"/>
        <v>0</v>
      </c>
      <c r="BC236" s="85">
        <f t="shared" si="73"/>
        <v>0</v>
      </c>
      <c r="BD236" s="86">
        <f t="shared" si="74"/>
        <v>0</v>
      </c>
      <c r="BE236" s="86">
        <f t="shared" si="74"/>
        <v>0</v>
      </c>
      <c r="BF236" s="194">
        <v>279</v>
      </c>
      <c r="BG236" s="192">
        <f t="shared" si="68"/>
        <v>0</v>
      </c>
      <c r="BH236" s="192">
        <f t="shared" si="69"/>
        <v>0</v>
      </c>
      <c r="BI236" s="192" t="b">
        <v>0</v>
      </c>
      <c r="BJ236" s="212">
        <v>309</v>
      </c>
      <c r="BK236" s="192">
        <f t="shared" si="70"/>
        <v>0</v>
      </c>
      <c r="BL236" s="192">
        <f t="shared" si="71"/>
        <v>0</v>
      </c>
      <c r="BM236" s="192" t="b">
        <v>0</v>
      </c>
    </row>
    <row r="237" spans="1:65" ht="24.95" customHeight="1">
      <c r="A237" s="542">
        <v>280</v>
      </c>
      <c r="B237" s="1910"/>
      <c r="C237" s="1910"/>
      <c r="D237" s="1910"/>
      <c r="E237" s="1910"/>
      <c r="F237" s="1910"/>
      <c r="G237" s="1910"/>
      <c r="H237" s="543"/>
      <c r="I237" s="544"/>
      <c r="J237" s="545"/>
      <c r="K237" s="1895"/>
      <c r="L237" s="1896"/>
      <c r="M237" s="1897"/>
      <c r="N237" s="547">
        <v>310</v>
      </c>
      <c r="O237" s="1921"/>
      <c r="P237" s="1918"/>
      <c r="Q237" s="1918"/>
      <c r="R237" s="1918"/>
      <c r="S237" s="1918"/>
      <c r="T237" s="1919"/>
      <c r="U237" s="543"/>
      <c r="V237" s="544"/>
      <c r="W237" s="545"/>
      <c r="X237" s="1895"/>
      <c r="Y237" s="1896"/>
      <c r="Z237" s="1897"/>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83">
        <v>234</v>
      </c>
      <c r="BB237" s="84">
        <f t="shared" si="72"/>
        <v>0</v>
      </c>
      <c r="BC237" s="85">
        <f t="shared" si="73"/>
        <v>0</v>
      </c>
      <c r="BD237" s="86">
        <f t="shared" si="74"/>
        <v>0</v>
      </c>
      <c r="BE237" s="86">
        <f t="shared" si="74"/>
        <v>0</v>
      </c>
      <c r="BF237" s="194">
        <v>280</v>
      </c>
      <c r="BG237" s="192">
        <f t="shared" si="68"/>
        <v>0</v>
      </c>
      <c r="BH237" s="192">
        <f t="shared" si="69"/>
        <v>0</v>
      </c>
      <c r="BI237" s="192" t="b">
        <v>0</v>
      </c>
      <c r="BJ237" s="212">
        <v>310</v>
      </c>
      <c r="BK237" s="192">
        <f t="shared" si="70"/>
        <v>0</v>
      </c>
      <c r="BL237" s="192">
        <f t="shared" si="71"/>
        <v>0</v>
      </c>
      <c r="BM237" s="192" t="b">
        <v>0</v>
      </c>
    </row>
    <row r="238" spans="1:65" ht="24.95" customHeight="1">
      <c r="A238" s="542">
        <v>281</v>
      </c>
      <c r="B238" s="1910"/>
      <c r="C238" s="1910"/>
      <c r="D238" s="1910"/>
      <c r="E238" s="1910"/>
      <c r="F238" s="1910"/>
      <c r="G238" s="1910"/>
      <c r="H238" s="543"/>
      <c r="I238" s="544"/>
      <c r="J238" s="545"/>
      <c r="K238" s="1895"/>
      <c r="L238" s="1896"/>
      <c r="M238" s="1897"/>
      <c r="N238" s="547">
        <v>311</v>
      </c>
      <c r="O238" s="1907"/>
      <c r="P238" s="1908"/>
      <c r="Q238" s="1908"/>
      <c r="R238" s="1908"/>
      <c r="S238" s="1908"/>
      <c r="T238" s="1909"/>
      <c r="U238" s="543"/>
      <c r="V238" s="544"/>
      <c r="W238" s="545"/>
      <c r="X238" s="1895"/>
      <c r="Y238" s="1896"/>
      <c r="Z238" s="1897"/>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83">
        <v>235</v>
      </c>
      <c r="BB238" s="84">
        <f t="shared" si="72"/>
        <v>0</v>
      </c>
      <c r="BC238" s="85">
        <f t="shared" si="73"/>
        <v>0</v>
      </c>
      <c r="BD238" s="86">
        <f t="shared" si="74"/>
        <v>0</v>
      </c>
      <c r="BE238" s="86">
        <f t="shared" si="74"/>
        <v>0</v>
      </c>
      <c r="BF238" s="194">
        <v>281</v>
      </c>
      <c r="BG238" s="192">
        <f t="shared" si="68"/>
        <v>0</v>
      </c>
      <c r="BH238" s="192">
        <f t="shared" si="69"/>
        <v>0</v>
      </c>
      <c r="BI238" s="192" t="b">
        <v>0</v>
      </c>
      <c r="BJ238" s="212">
        <v>311</v>
      </c>
      <c r="BK238" s="192">
        <f t="shared" si="70"/>
        <v>0</v>
      </c>
      <c r="BL238" s="192">
        <f t="shared" si="71"/>
        <v>0</v>
      </c>
      <c r="BM238" s="192" t="b">
        <v>0</v>
      </c>
    </row>
    <row r="239" spans="1:65" ht="24.95" customHeight="1">
      <c r="A239" s="542">
        <v>282</v>
      </c>
      <c r="B239" s="1910"/>
      <c r="C239" s="1910"/>
      <c r="D239" s="1910"/>
      <c r="E239" s="1910"/>
      <c r="F239" s="1910"/>
      <c r="G239" s="1910"/>
      <c r="H239" s="543"/>
      <c r="I239" s="544"/>
      <c r="J239" s="545"/>
      <c r="K239" s="1895"/>
      <c r="L239" s="1896"/>
      <c r="M239" s="1897"/>
      <c r="N239" s="547">
        <v>312</v>
      </c>
      <c r="O239" s="1907"/>
      <c r="P239" s="1908"/>
      <c r="Q239" s="1908"/>
      <c r="R239" s="1908"/>
      <c r="S239" s="1908"/>
      <c r="T239" s="1909"/>
      <c r="U239" s="543"/>
      <c r="V239" s="544"/>
      <c r="W239" s="545"/>
      <c r="X239" s="1895"/>
      <c r="Y239" s="1896"/>
      <c r="Z239" s="1897"/>
      <c r="BA239" s="83">
        <v>236</v>
      </c>
      <c r="BB239" s="84">
        <f t="shared" si="72"/>
        <v>0</v>
      </c>
      <c r="BC239" s="85">
        <f t="shared" si="73"/>
        <v>0</v>
      </c>
      <c r="BD239" s="86">
        <f t="shared" si="74"/>
        <v>0</v>
      </c>
      <c r="BE239" s="86">
        <f t="shared" si="74"/>
        <v>0</v>
      </c>
      <c r="BF239" s="194">
        <v>282</v>
      </c>
      <c r="BG239" s="192">
        <f t="shared" si="68"/>
        <v>0</v>
      </c>
      <c r="BH239" s="192">
        <f t="shared" si="69"/>
        <v>0</v>
      </c>
      <c r="BI239" s="192" t="b">
        <v>0</v>
      </c>
      <c r="BJ239" s="212">
        <v>312</v>
      </c>
      <c r="BK239" s="192">
        <f t="shared" si="70"/>
        <v>0</v>
      </c>
      <c r="BL239" s="192">
        <f t="shared" si="71"/>
        <v>0</v>
      </c>
      <c r="BM239" s="192" t="b">
        <v>0</v>
      </c>
    </row>
    <row r="240" spans="1:65" ht="24.95" customHeight="1">
      <c r="A240" s="542">
        <v>283</v>
      </c>
      <c r="B240" s="1910"/>
      <c r="C240" s="1910"/>
      <c r="D240" s="1910"/>
      <c r="E240" s="1910"/>
      <c r="F240" s="1910"/>
      <c r="G240" s="1910"/>
      <c r="H240" s="543"/>
      <c r="I240" s="544"/>
      <c r="J240" s="545"/>
      <c r="K240" s="1895"/>
      <c r="L240" s="1896"/>
      <c r="M240" s="1897"/>
      <c r="N240" s="547">
        <v>313</v>
      </c>
      <c r="O240" s="1907"/>
      <c r="P240" s="1908"/>
      <c r="Q240" s="1908"/>
      <c r="R240" s="1908"/>
      <c r="S240" s="1908"/>
      <c r="T240" s="1909"/>
      <c r="U240" s="543"/>
      <c r="V240" s="544"/>
      <c r="W240" s="545"/>
      <c r="X240" s="1895"/>
      <c r="Y240" s="1896"/>
      <c r="Z240" s="1897"/>
      <c r="BA240" s="83">
        <v>237</v>
      </c>
      <c r="BB240" s="84">
        <f t="shared" si="72"/>
        <v>0</v>
      </c>
      <c r="BC240" s="85">
        <f t="shared" si="73"/>
        <v>0</v>
      </c>
      <c r="BD240" s="86">
        <f t="shared" si="74"/>
        <v>0</v>
      </c>
      <c r="BE240" s="86">
        <f t="shared" si="74"/>
        <v>0</v>
      </c>
      <c r="BF240" s="194">
        <v>283</v>
      </c>
      <c r="BG240" s="192">
        <f t="shared" si="68"/>
        <v>0</v>
      </c>
      <c r="BH240" s="192">
        <f t="shared" si="69"/>
        <v>0</v>
      </c>
      <c r="BI240" s="192" t="b">
        <v>0</v>
      </c>
      <c r="BJ240" s="212">
        <v>313</v>
      </c>
      <c r="BK240" s="192">
        <f t="shared" si="70"/>
        <v>0</v>
      </c>
      <c r="BL240" s="192">
        <f t="shared" si="71"/>
        <v>0</v>
      </c>
      <c r="BM240" s="192" t="b">
        <v>0</v>
      </c>
    </row>
    <row r="241" spans="1:65" ht="24.95" customHeight="1">
      <c r="A241" s="542">
        <v>284</v>
      </c>
      <c r="B241" s="1910"/>
      <c r="C241" s="1910"/>
      <c r="D241" s="1910"/>
      <c r="E241" s="1910"/>
      <c r="F241" s="1910"/>
      <c r="G241" s="1910"/>
      <c r="H241" s="543"/>
      <c r="I241" s="544"/>
      <c r="J241" s="545"/>
      <c r="K241" s="1895"/>
      <c r="L241" s="1896"/>
      <c r="M241" s="1897"/>
      <c r="N241" s="547">
        <v>314</v>
      </c>
      <c r="O241" s="1907"/>
      <c r="P241" s="1908"/>
      <c r="Q241" s="1908"/>
      <c r="R241" s="1908"/>
      <c r="S241" s="1908"/>
      <c r="T241" s="1909"/>
      <c r="U241" s="543"/>
      <c r="V241" s="544"/>
      <c r="W241" s="545"/>
      <c r="X241" s="1895"/>
      <c r="Y241" s="1896"/>
      <c r="Z241" s="1897"/>
      <c r="BA241" s="83">
        <v>238</v>
      </c>
      <c r="BB241" s="84">
        <f t="shared" si="72"/>
        <v>0</v>
      </c>
      <c r="BC241" s="85">
        <f t="shared" si="73"/>
        <v>0</v>
      </c>
      <c r="BD241" s="86">
        <f t="shared" si="74"/>
        <v>0</v>
      </c>
      <c r="BE241" s="86">
        <f t="shared" si="74"/>
        <v>0</v>
      </c>
      <c r="BF241" s="194">
        <v>284</v>
      </c>
      <c r="BG241" s="192">
        <f t="shared" si="68"/>
        <v>0</v>
      </c>
      <c r="BH241" s="192">
        <f t="shared" si="69"/>
        <v>0</v>
      </c>
      <c r="BI241" s="192" t="b">
        <v>0</v>
      </c>
      <c r="BJ241" s="212">
        <v>314</v>
      </c>
      <c r="BK241" s="192">
        <f t="shared" si="70"/>
        <v>0</v>
      </c>
      <c r="BL241" s="192">
        <f t="shared" si="71"/>
        <v>0</v>
      </c>
      <c r="BM241" s="192" t="b">
        <v>0</v>
      </c>
    </row>
    <row r="242" spans="1:65" ht="24.95" customHeight="1">
      <c r="A242" s="542">
        <v>285</v>
      </c>
      <c r="B242" s="1910"/>
      <c r="C242" s="1910"/>
      <c r="D242" s="1910"/>
      <c r="E242" s="1910"/>
      <c r="F242" s="1910"/>
      <c r="G242" s="1910"/>
      <c r="H242" s="543"/>
      <c r="I242" s="544"/>
      <c r="J242" s="545"/>
      <c r="K242" s="1895"/>
      <c r="L242" s="1896"/>
      <c r="M242" s="1897"/>
      <c r="N242" s="547">
        <v>315</v>
      </c>
      <c r="O242" s="1907"/>
      <c r="P242" s="1908"/>
      <c r="Q242" s="1908"/>
      <c r="R242" s="1908"/>
      <c r="S242" s="1908"/>
      <c r="T242" s="1909"/>
      <c r="U242" s="543"/>
      <c r="V242" s="544"/>
      <c r="W242" s="545"/>
      <c r="X242" s="1895"/>
      <c r="Y242" s="1896"/>
      <c r="Z242" s="1897"/>
      <c r="BA242" s="83">
        <v>239</v>
      </c>
      <c r="BB242" s="84">
        <f t="shared" si="72"/>
        <v>0</v>
      </c>
      <c r="BC242" s="85">
        <f t="shared" si="73"/>
        <v>0</v>
      </c>
      <c r="BD242" s="86">
        <f t="shared" si="74"/>
        <v>0</v>
      </c>
      <c r="BE242" s="86">
        <f t="shared" si="74"/>
        <v>0</v>
      </c>
      <c r="BF242" s="194">
        <v>285</v>
      </c>
      <c r="BG242" s="192">
        <f t="shared" si="68"/>
        <v>0</v>
      </c>
      <c r="BH242" s="192">
        <f t="shared" si="69"/>
        <v>0</v>
      </c>
      <c r="BI242" s="192" t="b">
        <v>0</v>
      </c>
      <c r="BJ242" s="212">
        <v>315</v>
      </c>
      <c r="BK242" s="192">
        <f t="shared" si="70"/>
        <v>0</v>
      </c>
      <c r="BL242" s="192">
        <f t="shared" si="71"/>
        <v>0</v>
      </c>
      <c r="BM242" s="192" t="b">
        <v>0</v>
      </c>
    </row>
    <row r="243" spans="1:65" ht="24.95" customHeight="1">
      <c r="A243" s="542">
        <v>286</v>
      </c>
      <c r="B243" s="1910"/>
      <c r="C243" s="1910"/>
      <c r="D243" s="1910"/>
      <c r="E243" s="1910"/>
      <c r="F243" s="1910"/>
      <c r="G243" s="1910"/>
      <c r="H243" s="543"/>
      <c r="I243" s="544"/>
      <c r="J243" s="545"/>
      <c r="K243" s="1895"/>
      <c r="L243" s="1896"/>
      <c r="M243" s="1897"/>
      <c r="N243" s="547">
        <v>316</v>
      </c>
      <c r="O243" s="1907"/>
      <c r="P243" s="1908"/>
      <c r="Q243" s="1908"/>
      <c r="R243" s="1908"/>
      <c r="S243" s="1908"/>
      <c r="T243" s="1909"/>
      <c r="U243" s="543"/>
      <c r="V243" s="544"/>
      <c r="W243" s="545"/>
      <c r="X243" s="1895"/>
      <c r="Y243" s="1896"/>
      <c r="Z243" s="1897"/>
      <c r="BA243" s="83">
        <v>240</v>
      </c>
      <c r="BB243" s="84">
        <f t="shared" si="72"/>
        <v>0</v>
      </c>
      <c r="BC243" s="85">
        <f t="shared" si="73"/>
        <v>0</v>
      </c>
      <c r="BD243" s="86">
        <f t="shared" si="74"/>
        <v>0</v>
      </c>
      <c r="BE243" s="86">
        <f t="shared" si="74"/>
        <v>0</v>
      </c>
      <c r="BF243" s="194">
        <v>286</v>
      </c>
      <c r="BG243" s="192">
        <f t="shared" si="68"/>
        <v>0</v>
      </c>
      <c r="BH243" s="192">
        <f t="shared" si="69"/>
        <v>0</v>
      </c>
      <c r="BI243" s="192" t="b">
        <v>0</v>
      </c>
      <c r="BJ243" s="212">
        <v>316</v>
      </c>
      <c r="BK243" s="192">
        <f t="shared" si="70"/>
        <v>0</v>
      </c>
      <c r="BL243" s="192">
        <f t="shared" si="71"/>
        <v>0</v>
      </c>
      <c r="BM243" s="192" t="b">
        <v>0</v>
      </c>
    </row>
    <row r="244" spans="1:65" ht="24.95" customHeight="1">
      <c r="A244" s="542">
        <v>287</v>
      </c>
      <c r="B244" s="1910"/>
      <c r="C244" s="1910"/>
      <c r="D244" s="1910"/>
      <c r="E244" s="1910"/>
      <c r="F244" s="1910"/>
      <c r="G244" s="1910"/>
      <c r="H244" s="543"/>
      <c r="I244" s="544"/>
      <c r="J244" s="545"/>
      <c r="K244" s="1895"/>
      <c r="L244" s="1896"/>
      <c r="M244" s="1897"/>
      <c r="N244" s="547">
        <v>317</v>
      </c>
      <c r="O244" s="1907"/>
      <c r="P244" s="1908"/>
      <c r="Q244" s="1908"/>
      <c r="R244" s="1908"/>
      <c r="S244" s="1908"/>
      <c r="T244" s="1909"/>
      <c r="U244" s="543"/>
      <c r="V244" s="544"/>
      <c r="W244" s="545"/>
      <c r="X244" s="1895"/>
      <c r="Y244" s="1896"/>
      <c r="Z244" s="1897"/>
      <c r="BA244" s="83">
        <v>241</v>
      </c>
      <c r="BB244" s="84">
        <f t="shared" si="72"/>
        <v>0</v>
      </c>
      <c r="BC244" s="85">
        <f t="shared" si="73"/>
        <v>0</v>
      </c>
      <c r="BD244" s="86">
        <f t="shared" si="74"/>
        <v>0</v>
      </c>
      <c r="BE244" s="86">
        <f t="shared" si="74"/>
        <v>0</v>
      </c>
      <c r="BF244" s="194">
        <v>287</v>
      </c>
      <c r="BG244" s="192">
        <f t="shared" si="68"/>
        <v>0</v>
      </c>
      <c r="BH244" s="192">
        <f t="shared" si="69"/>
        <v>0</v>
      </c>
      <c r="BI244" s="192" t="b">
        <v>0</v>
      </c>
      <c r="BJ244" s="212">
        <v>317</v>
      </c>
      <c r="BK244" s="192">
        <f t="shared" si="70"/>
        <v>0</v>
      </c>
      <c r="BL244" s="192">
        <f t="shared" si="71"/>
        <v>0</v>
      </c>
      <c r="BM244" s="192" t="b">
        <v>0</v>
      </c>
    </row>
    <row r="245" spans="1:65" ht="24.95" customHeight="1">
      <c r="A245" s="542">
        <v>288</v>
      </c>
      <c r="B245" s="1910"/>
      <c r="C245" s="1910"/>
      <c r="D245" s="1910"/>
      <c r="E245" s="1910"/>
      <c r="F245" s="1910"/>
      <c r="G245" s="1910"/>
      <c r="H245" s="543"/>
      <c r="I245" s="544"/>
      <c r="J245" s="545"/>
      <c r="K245" s="1895"/>
      <c r="L245" s="1896"/>
      <c r="M245" s="1897"/>
      <c r="N245" s="547">
        <v>318</v>
      </c>
      <c r="O245" s="1907"/>
      <c r="P245" s="1908"/>
      <c r="Q245" s="1908"/>
      <c r="R245" s="1908"/>
      <c r="S245" s="1908"/>
      <c r="T245" s="1909"/>
      <c r="U245" s="543"/>
      <c r="V245" s="544"/>
      <c r="W245" s="545"/>
      <c r="X245" s="1895"/>
      <c r="Y245" s="1896"/>
      <c r="Z245" s="1897"/>
      <c r="BA245" s="83">
        <v>242</v>
      </c>
      <c r="BB245" s="84">
        <f t="shared" si="72"/>
        <v>0</v>
      </c>
      <c r="BC245" s="85">
        <f t="shared" si="73"/>
        <v>0</v>
      </c>
      <c r="BD245" s="86">
        <f t="shared" si="74"/>
        <v>0</v>
      </c>
      <c r="BE245" s="86">
        <f t="shared" si="74"/>
        <v>0</v>
      </c>
      <c r="BF245" s="194">
        <v>288</v>
      </c>
      <c r="BG245" s="192">
        <f t="shared" si="68"/>
        <v>0</v>
      </c>
      <c r="BH245" s="192">
        <f t="shared" si="69"/>
        <v>0</v>
      </c>
      <c r="BI245" s="192" t="b">
        <v>0</v>
      </c>
      <c r="BJ245" s="212">
        <v>318</v>
      </c>
      <c r="BK245" s="192">
        <f t="shared" si="70"/>
        <v>0</v>
      </c>
      <c r="BL245" s="192">
        <f t="shared" si="71"/>
        <v>0</v>
      </c>
      <c r="BM245" s="192" t="b">
        <v>0</v>
      </c>
    </row>
    <row r="246" spans="1:65" ht="24.95" customHeight="1">
      <c r="A246" s="542">
        <v>289</v>
      </c>
      <c r="B246" s="1910"/>
      <c r="C246" s="1910"/>
      <c r="D246" s="1910"/>
      <c r="E246" s="1910"/>
      <c r="F246" s="1910"/>
      <c r="G246" s="1910"/>
      <c r="H246" s="543"/>
      <c r="I246" s="544"/>
      <c r="J246" s="545"/>
      <c r="K246" s="1895"/>
      <c r="L246" s="1896"/>
      <c r="M246" s="1897"/>
      <c r="N246" s="547">
        <v>319</v>
      </c>
      <c r="O246" s="1907"/>
      <c r="P246" s="1908"/>
      <c r="Q246" s="1908"/>
      <c r="R246" s="1908"/>
      <c r="S246" s="1908"/>
      <c r="T246" s="1909"/>
      <c r="U246" s="543"/>
      <c r="V246" s="544"/>
      <c r="W246" s="545"/>
      <c r="X246" s="1895"/>
      <c r="Y246" s="1896"/>
      <c r="Z246" s="1897"/>
      <c r="BA246" s="83">
        <v>243</v>
      </c>
      <c r="BB246" s="84">
        <f t="shared" si="72"/>
        <v>0</v>
      </c>
      <c r="BC246" s="85">
        <f t="shared" si="73"/>
        <v>0</v>
      </c>
      <c r="BD246" s="86">
        <f t="shared" si="74"/>
        <v>0</v>
      </c>
      <c r="BE246" s="86">
        <f t="shared" si="74"/>
        <v>0</v>
      </c>
      <c r="BF246" s="194">
        <v>289</v>
      </c>
      <c r="BG246" s="192">
        <f t="shared" si="68"/>
        <v>0</v>
      </c>
      <c r="BH246" s="192">
        <f t="shared" si="69"/>
        <v>0</v>
      </c>
      <c r="BI246" s="192" t="b">
        <v>0</v>
      </c>
      <c r="BJ246" s="212">
        <v>319</v>
      </c>
      <c r="BK246" s="192">
        <f t="shared" si="70"/>
        <v>0</v>
      </c>
      <c r="BL246" s="192">
        <f t="shared" si="71"/>
        <v>0</v>
      </c>
      <c r="BM246" s="192" t="b">
        <v>0</v>
      </c>
    </row>
    <row r="247" spans="1:65" ht="24.95" customHeight="1">
      <c r="A247" s="542">
        <v>290</v>
      </c>
      <c r="B247" s="1910"/>
      <c r="C247" s="1910"/>
      <c r="D247" s="1910"/>
      <c r="E247" s="1910"/>
      <c r="F247" s="1910"/>
      <c r="G247" s="1910"/>
      <c r="H247" s="543"/>
      <c r="I247" s="544"/>
      <c r="J247" s="545"/>
      <c r="K247" s="1895"/>
      <c r="L247" s="1896"/>
      <c r="M247" s="1897"/>
      <c r="N247" s="547">
        <v>320</v>
      </c>
      <c r="O247" s="1907"/>
      <c r="P247" s="1908"/>
      <c r="Q247" s="1908"/>
      <c r="R247" s="1908"/>
      <c r="S247" s="1908"/>
      <c r="T247" s="1909"/>
      <c r="U247" s="543"/>
      <c r="V247" s="544"/>
      <c r="W247" s="545"/>
      <c r="X247" s="1895"/>
      <c r="Y247" s="1896"/>
      <c r="Z247" s="1897"/>
      <c r="BA247" s="83">
        <v>244</v>
      </c>
      <c r="BB247" s="84">
        <f t="shared" si="72"/>
        <v>0</v>
      </c>
      <c r="BC247" s="85">
        <f t="shared" si="73"/>
        <v>0</v>
      </c>
      <c r="BD247" s="86">
        <f t="shared" si="74"/>
        <v>0</v>
      </c>
      <c r="BE247" s="86">
        <f t="shared" si="74"/>
        <v>0</v>
      </c>
      <c r="BF247" s="194">
        <v>290</v>
      </c>
      <c r="BG247" s="192">
        <f t="shared" si="68"/>
        <v>0</v>
      </c>
      <c r="BH247" s="192">
        <f t="shared" si="69"/>
        <v>0</v>
      </c>
      <c r="BI247" s="192" t="b">
        <v>0</v>
      </c>
      <c r="BJ247" s="212">
        <v>320</v>
      </c>
      <c r="BK247" s="192">
        <f t="shared" si="70"/>
        <v>0</v>
      </c>
      <c r="BL247" s="192">
        <f t="shared" si="71"/>
        <v>0</v>
      </c>
      <c r="BM247" s="192" t="b">
        <v>0</v>
      </c>
    </row>
    <row r="248" spans="1:65" ht="24.95" customHeight="1">
      <c r="BA248" s="83">
        <v>245</v>
      </c>
      <c r="BB248" s="84">
        <f t="shared" si="72"/>
        <v>0</v>
      </c>
      <c r="BC248" s="85">
        <f t="shared" si="73"/>
        <v>0</v>
      </c>
      <c r="BD248" s="86">
        <f t="shared" si="74"/>
        <v>0</v>
      </c>
      <c r="BE248" s="86">
        <f t="shared" si="74"/>
        <v>0</v>
      </c>
    </row>
    <row r="249" spans="1:65">
      <c r="BA249" s="83">
        <v>246</v>
      </c>
      <c r="BB249" s="84">
        <f t="shared" si="72"/>
        <v>0</v>
      </c>
      <c r="BC249" s="85">
        <f t="shared" si="73"/>
        <v>0</v>
      </c>
      <c r="BD249" s="86">
        <f t="shared" si="74"/>
        <v>0</v>
      </c>
      <c r="BE249" s="86">
        <f t="shared" si="74"/>
        <v>0</v>
      </c>
    </row>
    <row r="250" spans="1:65">
      <c r="BA250" s="83">
        <v>247</v>
      </c>
      <c r="BB250" s="84">
        <f t="shared" si="72"/>
        <v>0</v>
      </c>
      <c r="BC250" s="85">
        <f t="shared" si="73"/>
        <v>0</v>
      </c>
      <c r="BD250" s="86">
        <f t="shared" ref="BD250:BE263" si="75">BB250-COUNTA(H191)</f>
        <v>0</v>
      </c>
      <c r="BE250" s="86">
        <f t="shared" si="75"/>
        <v>0</v>
      </c>
    </row>
    <row r="251" spans="1:65">
      <c r="A251" s="192" t="s">
        <v>3026</v>
      </c>
      <c r="B251" s="192" t="s">
        <v>3027</v>
      </c>
      <c r="C251" s="192" t="s">
        <v>3028</v>
      </c>
      <c r="D251" s="896" t="s">
        <v>548</v>
      </c>
      <c r="E251" s="897" t="s">
        <v>547</v>
      </c>
      <c r="F251" s="896" t="s">
        <v>3029</v>
      </c>
      <c r="G251" s="739" t="s">
        <v>3015</v>
      </c>
      <c r="H251" s="896" t="s">
        <v>3030</v>
      </c>
      <c r="I251" s="896" t="s">
        <v>3020</v>
      </c>
      <c r="J251" s="12" t="s">
        <v>3031</v>
      </c>
      <c r="K251" s="750"/>
      <c r="L251" s="750"/>
      <c r="M251" s="750"/>
      <c r="N251" s="750"/>
      <c r="O251" s="750"/>
      <c r="P251" s="750"/>
      <c r="Q251" s="750"/>
      <c r="R251" s="750"/>
      <c r="S251" s="750"/>
      <c r="T251" s="750"/>
      <c r="U251" s="750"/>
      <c r="V251" s="750"/>
      <c r="W251" s="750"/>
      <c r="X251" s="750"/>
      <c r="Y251" s="750"/>
      <c r="Z251" s="750"/>
      <c r="AB251" s="1963"/>
      <c r="AC251" s="1963"/>
      <c r="AD251" s="1963"/>
      <c r="AE251" s="1963"/>
      <c r="AF251" s="1963"/>
      <c r="AG251" s="1963"/>
      <c r="AH251" s="1963"/>
      <c r="AI251" s="1963"/>
      <c r="AJ251" s="1963"/>
      <c r="AK251" s="1963"/>
      <c r="AL251" s="1963"/>
      <c r="AM251" s="1963"/>
      <c r="AN251" s="1963"/>
      <c r="AO251" s="1963"/>
      <c r="AP251" s="1963"/>
      <c r="AQ251" s="1963"/>
      <c r="AR251" s="1963"/>
      <c r="AS251" s="1963"/>
      <c r="AT251" s="1963"/>
      <c r="AU251" s="1963"/>
      <c r="AV251" s="1963"/>
      <c r="AW251" s="1963"/>
      <c r="AX251" s="1963"/>
      <c r="AY251" s="1963"/>
      <c r="AZ251" s="1963"/>
      <c r="BA251" s="83">
        <v>248</v>
      </c>
      <c r="BB251" s="84">
        <f t="shared" si="72"/>
        <v>0</v>
      </c>
      <c r="BC251" s="85">
        <f t="shared" si="73"/>
        <v>0</v>
      </c>
      <c r="BD251" s="86">
        <f t="shared" si="75"/>
        <v>0</v>
      </c>
      <c r="BE251" s="86">
        <f t="shared" si="75"/>
        <v>0</v>
      </c>
    </row>
    <row r="252" spans="1:65">
      <c r="A252" s="194" t="s">
        <v>515</v>
      </c>
      <c r="B252" s="749" t="s">
        <v>515</v>
      </c>
      <c r="C252" s="738" t="s">
        <v>549</v>
      </c>
      <c r="D252" s="56" t="s">
        <v>2955</v>
      </c>
      <c r="E252" s="747"/>
      <c r="F252" s="747"/>
      <c r="I252" s="747"/>
      <c r="J252" s="747"/>
      <c r="K252" s="747"/>
      <c r="L252" s="747"/>
      <c r="M252" s="198"/>
      <c r="N252" s="198"/>
      <c r="O252" s="748"/>
      <c r="P252" s="748"/>
      <c r="Q252" s="748"/>
      <c r="R252" s="748"/>
      <c r="S252" s="748"/>
      <c r="T252" s="748"/>
      <c r="U252" s="198"/>
      <c r="V252" s="198"/>
      <c r="W252" s="198"/>
      <c r="X252" s="198"/>
      <c r="Y252" s="198"/>
      <c r="Z252" s="198"/>
      <c r="AB252" s="746"/>
      <c r="AC252" s="746"/>
      <c r="AD252" s="747"/>
      <c r="AE252" s="747"/>
      <c r="AF252" s="747"/>
      <c r="AG252" s="746"/>
      <c r="AH252" s="747"/>
      <c r="AI252" s="747"/>
      <c r="AJ252" s="747"/>
      <c r="AK252" s="747"/>
      <c r="AL252" s="747"/>
      <c r="AM252" s="198"/>
      <c r="AN252" s="198"/>
      <c r="AO252" s="748"/>
      <c r="AP252" s="748"/>
      <c r="AQ252" s="748"/>
      <c r="AR252" s="748"/>
      <c r="AS252" s="748"/>
      <c r="AT252" s="748"/>
      <c r="AU252" s="198"/>
      <c r="AV252" s="198"/>
      <c r="AW252" s="198"/>
      <c r="AX252" s="198"/>
      <c r="AY252" s="198"/>
      <c r="AZ252" s="198"/>
      <c r="BA252" s="83">
        <v>249</v>
      </c>
      <c r="BB252" s="84">
        <f t="shared" si="72"/>
        <v>0</v>
      </c>
      <c r="BC252" s="85">
        <f t="shared" si="73"/>
        <v>0</v>
      </c>
      <c r="BD252" s="86">
        <f t="shared" si="75"/>
        <v>0</v>
      </c>
      <c r="BE252" s="86">
        <f t="shared" si="75"/>
        <v>0</v>
      </c>
    </row>
    <row r="253" spans="1:65">
      <c r="A253" s="194" t="s">
        <v>516</v>
      </c>
      <c r="B253" s="194" t="s">
        <v>516</v>
      </c>
      <c r="BA253" s="83">
        <v>250</v>
      </c>
      <c r="BB253" s="84">
        <f t="shared" si="72"/>
        <v>0</v>
      </c>
      <c r="BC253" s="85">
        <f t="shared" si="73"/>
        <v>0</v>
      </c>
      <c r="BD253" s="86">
        <f t="shared" si="75"/>
        <v>0</v>
      </c>
      <c r="BE253" s="86">
        <f t="shared" si="75"/>
        <v>0</v>
      </c>
    </row>
    <row r="254" spans="1:65">
      <c r="A254" s="628" t="s">
        <v>517</v>
      </c>
      <c r="B254" s="628" t="s">
        <v>517</v>
      </c>
      <c r="BA254" s="83">
        <v>251</v>
      </c>
      <c r="BB254" s="84">
        <f t="shared" si="72"/>
        <v>0</v>
      </c>
      <c r="BC254" s="85">
        <f t="shared" si="73"/>
        <v>0</v>
      </c>
      <c r="BD254" s="86">
        <f t="shared" si="75"/>
        <v>0</v>
      </c>
      <c r="BE254" s="86">
        <f t="shared" si="75"/>
        <v>0</v>
      </c>
    </row>
    <row r="255" spans="1:65">
      <c r="A255" s="628" t="s">
        <v>518</v>
      </c>
      <c r="B255" s="628" t="s">
        <v>518</v>
      </c>
      <c r="I255" s="77" t="s">
        <v>2953</v>
      </c>
      <c r="K255" s="1964" t="s">
        <v>547</v>
      </c>
      <c r="L255" s="1964"/>
      <c r="BA255" s="83">
        <v>252</v>
      </c>
      <c r="BB255" s="84">
        <f t="shared" si="72"/>
        <v>0</v>
      </c>
      <c r="BC255" s="85">
        <f t="shared" si="73"/>
        <v>0</v>
      </c>
      <c r="BD255" s="86">
        <f t="shared" si="75"/>
        <v>0</v>
      </c>
      <c r="BE255" s="86">
        <f t="shared" si="75"/>
        <v>0</v>
      </c>
    </row>
    <row r="256" spans="1:65">
      <c r="A256" s="628" t="s">
        <v>519</v>
      </c>
      <c r="B256" s="628" t="s">
        <v>519</v>
      </c>
      <c r="I256" s="77" t="s">
        <v>2954</v>
      </c>
      <c r="K256" s="1964"/>
      <c r="L256" s="1964"/>
      <c r="BA256" s="83">
        <v>253</v>
      </c>
      <c r="BB256" s="84">
        <f t="shared" si="72"/>
        <v>0</v>
      </c>
      <c r="BC256" s="85">
        <f t="shared" si="73"/>
        <v>0</v>
      </c>
      <c r="BD256" s="86">
        <f t="shared" si="75"/>
        <v>0</v>
      </c>
      <c r="BE256" s="86">
        <f t="shared" si="75"/>
        <v>0</v>
      </c>
    </row>
    <row r="257" spans="1:57">
      <c r="A257" s="194" t="s">
        <v>523</v>
      </c>
      <c r="B257" s="194" t="s">
        <v>523</v>
      </c>
      <c r="BA257" s="83">
        <v>254</v>
      </c>
      <c r="BB257" s="84">
        <f t="shared" si="72"/>
        <v>0</v>
      </c>
      <c r="BC257" s="85">
        <f t="shared" si="73"/>
        <v>0</v>
      </c>
      <c r="BD257" s="86">
        <f t="shared" si="75"/>
        <v>0</v>
      </c>
      <c r="BE257" s="86">
        <f t="shared" si="75"/>
        <v>0</v>
      </c>
    </row>
    <row r="258" spans="1:57">
      <c r="A258" s="628" t="s">
        <v>524</v>
      </c>
      <c r="B258" s="628" t="s">
        <v>524</v>
      </c>
      <c r="BA258" s="83">
        <v>255</v>
      </c>
      <c r="BB258" s="84">
        <f t="shared" si="72"/>
        <v>0</v>
      </c>
      <c r="BC258" s="85">
        <f t="shared" si="73"/>
        <v>0</v>
      </c>
      <c r="BD258" s="86">
        <f t="shared" si="75"/>
        <v>0</v>
      </c>
      <c r="BE258" s="86">
        <f t="shared" si="75"/>
        <v>0</v>
      </c>
    </row>
    <row r="259" spans="1:57">
      <c r="A259" s="628" t="s">
        <v>525</v>
      </c>
      <c r="B259" s="628" t="s">
        <v>525</v>
      </c>
      <c r="BA259" s="83">
        <v>256</v>
      </c>
      <c r="BB259" s="84">
        <f t="shared" si="72"/>
        <v>0</v>
      </c>
      <c r="BC259" s="85">
        <f t="shared" si="73"/>
        <v>0</v>
      </c>
      <c r="BD259" s="86">
        <f t="shared" si="75"/>
        <v>0</v>
      </c>
      <c r="BE259" s="86">
        <f t="shared" si="75"/>
        <v>0</v>
      </c>
    </row>
    <row r="260" spans="1:57">
      <c r="A260" s="628" t="s">
        <v>526</v>
      </c>
      <c r="B260" s="628" t="s">
        <v>526</v>
      </c>
      <c r="BA260" s="83">
        <v>257</v>
      </c>
      <c r="BB260" s="84">
        <f t="shared" si="72"/>
        <v>0</v>
      </c>
      <c r="BC260" s="85">
        <f t="shared" si="73"/>
        <v>0</v>
      </c>
      <c r="BD260" s="86">
        <f t="shared" si="75"/>
        <v>0</v>
      </c>
      <c r="BE260" s="86">
        <f t="shared" si="75"/>
        <v>0</v>
      </c>
    </row>
    <row r="261" spans="1:57">
      <c r="A261" s="628" t="s">
        <v>527</v>
      </c>
      <c r="B261" s="628" t="s">
        <v>527</v>
      </c>
      <c r="BA261" s="83">
        <v>258</v>
      </c>
      <c r="BB261" s="84">
        <f t="shared" si="72"/>
        <v>0</v>
      </c>
      <c r="BC261" s="85">
        <f t="shared" si="73"/>
        <v>0</v>
      </c>
      <c r="BD261" s="86">
        <f t="shared" si="75"/>
        <v>0</v>
      </c>
      <c r="BE261" s="86">
        <f t="shared" si="75"/>
        <v>0</v>
      </c>
    </row>
    <row r="262" spans="1:57">
      <c r="A262" s="628" t="s">
        <v>528</v>
      </c>
      <c r="B262" s="628" t="s">
        <v>528</v>
      </c>
      <c r="BA262" s="83">
        <v>259</v>
      </c>
      <c r="BB262" s="84">
        <f t="shared" si="72"/>
        <v>0</v>
      </c>
      <c r="BC262" s="85">
        <f t="shared" si="73"/>
        <v>0</v>
      </c>
      <c r="BD262" s="86">
        <f t="shared" si="75"/>
        <v>0</v>
      </c>
      <c r="BE262" s="86">
        <f t="shared" si="75"/>
        <v>0</v>
      </c>
    </row>
    <row r="263" spans="1:57">
      <c r="A263" s="196" t="s">
        <v>529</v>
      </c>
      <c r="B263" s="196" t="s">
        <v>529</v>
      </c>
      <c r="BA263" s="83">
        <v>260</v>
      </c>
      <c r="BB263" s="84">
        <f t="shared" si="72"/>
        <v>0</v>
      </c>
      <c r="BC263" s="85">
        <f t="shared" si="73"/>
        <v>0</v>
      </c>
      <c r="BD263" s="86">
        <f t="shared" si="75"/>
        <v>0</v>
      </c>
      <c r="BE263" s="86">
        <f t="shared" si="75"/>
        <v>0</v>
      </c>
    </row>
    <row r="264" spans="1:57">
      <c r="A264" s="196" t="s">
        <v>530</v>
      </c>
      <c r="B264" s="196" t="s">
        <v>530</v>
      </c>
      <c r="BA264" s="83">
        <v>261</v>
      </c>
      <c r="BB264" s="84">
        <f>COUNTA(H218:I218)</f>
        <v>0</v>
      </c>
      <c r="BC264" s="85">
        <f>COUNTA(X218)</f>
        <v>0</v>
      </c>
      <c r="BD264" s="86">
        <f t="shared" ref="BD264:BE293" si="76">BB264-COUNTA(H218)</f>
        <v>0</v>
      </c>
      <c r="BE264" s="86">
        <f t="shared" si="76"/>
        <v>0</v>
      </c>
    </row>
    <row r="265" spans="1:57">
      <c r="A265" s="197" t="s">
        <v>531</v>
      </c>
      <c r="B265" s="197" t="s">
        <v>531</v>
      </c>
      <c r="BA265" s="83">
        <v>262</v>
      </c>
      <c r="BB265" s="84">
        <f t="shared" ref="BB265:BB293" si="77">COUNTA(H219:I219)</f>
        <v>0</v>
      </c>
      <c r="BC265" s="85">
        <f t="shared" ref="BC265:BC293" si="78">COUNTA(X219)</f>
        <v>0</v>
      </c>
      <c r="BD265" s="86">
        <f t="shared" si="76"/>
        <v>0</v>
      </c>
      <c r="BE265" s="86">
        <f t="shared" si="76"/>
        <v>0</v>
      </c>
    </row>
    <row r="266" spans="1:57">
      <c r="A266" s="197" t="s">
        <v>532</v>
      </c>
      <c r="B266" s="197" t="s">
        <v>532</v>
      </c>
      <c r="BA266" s="83">
        <v>263</v>
      </c>
      <c r="BB266" s="84">
        <f t="shared" si="77"/>
        <v>0</v>
      </c>
      <c r="BC266" s="85">
        <f t="shared" si="78"/>
        <v>0</v>
      </c>
      <c r="BD266" s="86">
        <f t="shared" si="76"/>
        <v>0</v>
      </c>
      <c r="BE266" s="86">
        <f t="shared" si="76"/>
        <v>0</v>
      </c>
    </row>
    <row r="267" spans="1:57">
      <c r="A267" s="197" t="s">
        <v>533</v>
      </c>
      <c r="B267" s="197" t="s">
        <v>533</v>
      </c>
      <c r="BA267" s="83">
        <v>264</v>
      </c>
      <c r="BB267" s="84">
        <f t="shared" si="77"/>
        <v>0</v>
      </c>
      <c r="BC267" s="85">
        <f t="shared" si="78"/>
        <v>0</v>
      </c>
      <c r="BD267" s="86">
        <f t="shared" si="76"/>
        <v>0</v>
      </c>
      <c r="BE267" s="86">
        <f t="shared" si="76"/>
        <v>0</v>
      </c>
    </row>
    <row r="268" spans="1:57">
      <c r="A268" s="197" t="s">
        <v>534</v>
      </c>
      <c r="B268" s="197" t="s">
        <v>534</v>
      </c>
      <c r="BA268" s="83">
        <v>265</v>
      </c>
      <c r="BB268" s="84">
        <f t="shared" si="77"/>
        <v>0</v>
      </c>
      <c r="BC268" s="85">
        <f t="shared" si="78"/>
        <v>0</v>
      </c>
      <c r="BD268" s="86">
        <f t="shared" si="76"/>
        <v>0</v>
      </c>
      <c r="BE268" s="86">
        <f t="shared" si="76"/>
        <v>0</v>
      </c>
    </row>
    <row r="269" spans="1:57">
      <c r="A269" s="197" t="s">
        <v>535</v>
      </c>
      <c r="B269" s="197" t="s">
        <v>535</v>
      </c>
      <c r="BA269" s="83">
        <v>266</v>
      </c>
      <c r="BB269" s="84">
        <f t="shared" si="77"/>
        <v>0</v>
      </c>
      <c r="BC269" s="85">
        <f t="shared" si="78"/>
        <v>0</v>
      </c>
      <c r="BD269" s="86">
        <f t="shared" si="76"/>
        <v>0</v>
      </c>
      <c r="BE269" s="86">
        <f t="shared" si="76"/>
        <v>0</v>
      </c>
    </row>
    <row r="270" spans="1:57">
      <c r="A270" s="197" t="s">
        <v>536</v>
      </c>
      <c r="B270" s="197" t="s">
        <v>536</v>
      </c>
      <c r="BA270" s="83">
        <v>267</v>
      </c>
      <c r="BB270" s="84">
        <f t="shared" si="77"/>
        <v>0</v>
      </c>
      <c r="BC270" s="85">
        <f t="shared" si="78"/>
        <v>0</v>
      </c>
      <c r="BD270" s="86">
        <f t="shared" si="76"/>
        <v>0</v>
      </c>
      <c r="BE270" s="86">
        <f t="shared" si="76"/>
        <v>0</v>
      </c>
    </row>
    <row r="271" spans="1:57">
      <c r="A271" s="196" t="s">
        <v>537</v>
      </c>
      <c r="B271" s="196" t="s">
        <v>537</v>
      </c>
      <c r="BA271" s="83">
        <v>268</v>
      </c>
      <c r="BB271" s="84">
        <f t="shared" si="77"/>
        <v>0</v>
      </c>
      <c r="BC271" s="85">
        <f t="shared" si="78"/>
        <v>0</v>
      </c>
      <c r="BD271" s="86">
        <f t="shared" si="76"/>
        <v>0</v>
      </c>
      <c r="BE271" s="86">
        <f t="shared" si="76"/>
        <v>0</v>
      </c>
    </row>
    <row r="272" spans="1:57">
      <c r="A272" s="196" t="s">
        <v>538</v>
      </c>
      <c r="B272" s="196" t="s">
        <v>538</v>
      </c>
      <c r="BA272" s="83">
        <v>269</v>
      </c>
      <c r="BB272" s="84">
        <f t="shared" si="77"/>
        <v>0</v>
      </c>
      <c r="BC272" s="85">
        <f t="shared" si="78"/>
        <v>0</v>
      </c>
      <c r="BD272" s="86">
        <f t="shared" si="76"/>
        <v>0</v>
      </c>
      <c r="BE272" s="86">
        <f t="shared" si="76"/>
        <v>0</v>
      </c>
    </row>
    <row r="273" spans="1:57">
      <c r="A273" s="196" t="s">
        <v>539</v>
      </c>
      <c r="B273" s="196" t="s">
        <v>539</v>
      </c>
      <c r="BA273" s="83">
        <v>270</v>
      </c>
      <c r="BB273" s="84">
        <f t="shared" si="77"/>
        <v>0</v>
      </c>
      <c r="BC273" s="85">
        <f t="shared" si="78"/>
        <v>0</v>
      </c>
      <c r="BD273" s="86">
        <f t="shared" si="76"/>
        <v>0</v>
      </c>
      <c r="BE273" s="86">
        <f t="shared" si="76"/>
        <v>0</v>
      </c>
    </row>
    <row r="274" spans="1:57">
      <c r="A274" s="196" t="s">
        <v>540</v>
      </c>
      <c r="B274" s="196" t="s">
        <v>540</v>
      </c>
      <c r="BA274" s="83">
        <v>271</v>
      </c>
      <c r="BB274" s="84">
        <f t="shared" si="77"/>
        <v>0</v>
      </c>
      <c r="BC274" s="85">
        <f t="shared" si="78"/>
        <v>0</v>
      </c>
      <c r="BD274" s="86">
        <f t="shared" si="76"/>
        <v>0</v>
      </c>
      <c r="BE274" s="86">
        <f t="shared" si="76"/>
        <v>0</v>
      </c>
    </row>
    <row r="275" spans="1:57">
      <c r="A275" s="196" t="s">
        <v>541</v>
      </c>
      <c r="B275" s="196" t="s">
        <v>541</v>
      </c>
      <c r="BA275" s="83">
        <v>272</v>
      </c>
      <c r="BB275" s="84">
        <f t="shared" si="77"/>
        <v>0</v>
      </c>
      <c r="BC275" s="85">
        <f t="shared" si="78"/>
        <v>0</v>
      </c>
      <c r="BD275" s="86">
        <f t="shared" si="76"/>
        <v>0</v>
      </c>
      <c r="BE275" s="86">
        <f t="shared" si="76"/>
        <v>0</v>
      </c>
    </row>
    <row r="276" spans="1:57">
      <c r="A276" s="196" t="s">
        <v>554</v>
      </c>
      <c r="B276" s="196" t="s">
        <v>554</v>
      </c>
      <c r="BA276" s="83">
        <v>273</v>
      </c>
      <c r="BB276" s="84">
        <f t="shared" si="77"/>
        <v>0</v>
      </c>
      <c r="BC276" s="85">
        <f t="shared" si="78"/>
        <v>0</v>
      </c>
      <c r="BD276" s="86">
        <f t="shared" si="76"/>
        <v>0</v>
      </c>
      <c r="BE276" s="86">
        <f t="shared" si="76"/>
        <v>0</v>
      </c>
    </row>
    <row r="277" spans="1:57">
      <c r="BA277" s="83">
        <v>274</v>
      </c>
      <c r="BB277" s="84">
        <f t="shared" si="77"/>
        <v>0</v>
      </c>
      <c r="BC277" s="85">
        <f t="shared" si="78"/>
        <v>0</v>
      </c>
      <c r="BD277" s="86">
        <f t="shared" si="76"/>
        <v>0</v>
      </c>
      <c r="BE277" s="86">
        <f t="shared" si="76"/>
        <v>0</v>
      </c>
    </row>
    <row r="278" spans="1:57">
      <c r="BA278" s="83">
        <v>275</v>
      </c>
      <c r="BB278" s="84">
        <f t="shared" si="77"/>
        <v>0</v>
      </c>
      <c r="BC278" s="85">
        <f t="shared" si="78"/>
        <v>0</v>
      </c>
      <c r="BD278" s="86">
        <f t="shared" si="76"/>
        <v>0</v>
      </c>
      <c r="BE278" s="86">
        <f t="shared" si="76"/>
        <v>0</v>
      </c>
    </row>
    <row r="279" spans="1:57">
      <c r="BA279" s="83">
        <v>276</v>
      </c>
      <c r="BB279" s="84">
        <f t="shared" si="77"/>
        <v>0</v>
      </c>
      <c r="BC279" s="85">
        <f t="shared" si="78"/>
        <v>0</v>
      </c>
      <c r="BD279" s="86">
        <f t="shared" si="76"/>
        <v>0</v>
      </c>
      <c r="BE279" s="86">
        <f t="shared" si="76"/>
        <v>0</v>
      </c>
    </row>
    <row r="280" spans="1:57">
      <c r="BA280" s="83">
        <v>277</v>
      </c>
      <c r="BB280" s="84">
        <f t="shared" si="77"/>
        <v>0</v>
      </c>
      <c r="BC280" s="85">
        <f t="shared" si="78"/>
        <v>0</v>
      </c>
      <c r="BD280" s="86">
        <f t="shared" si="76"/>
        <v>0</v>
      </c>
      <c r="BE280" s="86">
        <f t="shared" si="76"/>
        <v>0</v>
      </c>
    </row>
    <row r="281" spans="1:57">
      <c r="BA281" s="83">
        <v>278</v>
      </c>
      <c r="BB281" s="84">
        <f t="shared" si="77"/>
        <v>0</v>
      </c>
      <c r="BC281" s="85">
        <f t="shared" si="78"/>
        <v>0</v>
      </c>
      <c r="BD281" s="86">
        <f t="shared" si="76"/>
        <v>0</v>
      </c>
      <c r="BE281" s="86">
        <f t="shared" si="76"/>
        <v>0</v>
      </c>
    </row>
    <row r="282" spans="1:57">
      <c r="BA282" s="83">
        <v>279</v>
      </c>
      <c r="BB282" s="84">
        <f t="shared" si="77"/>
        <v>0</v>
      </c>
      <c r="BC282" s="85">
        <f t="shared" si="78"/>
        <v>0</v>
      </c>
      <c r="BD282" s="86">
        <f t="shared" si="76"/>
        <v>0</v>
      </c>
      <c r="BE282" s="86">
        <f t="shared" si="76"/>
        <v>0</v>
      </c>
    </row>
    <row r="283" spans="1:57">
      <c r="BA283" s="83">
        <v>280</v>
      </c>
      <c r="BB283" s="84">
        <f t="shared" si="77"/>
        <v>0</v>
      </c>
      <c r="BC283" s="85">
        <f t="shared" si="78"/>
        <v>0</v>
      </c>
      <c r="BD283" s="86">
        <f t="shared" si="76"/>
        <v>0</v>
      </c>
      <c r="BE283" s="86">
        <f t="shared" si="76"/>
        <v>0</v>
      </c>
    </row>
    <row r="284" spans="1:57">
      <c r="BA284" s="83">
        <v>281</v>
      </c>
      <c r="BB284" s="84">
        <f t="shared" si="77"/>
        <v>0</v>
      </c>
      <c r="BC284" s="85">
        <f t="shared" si="78"/>
        <v>0</v>
      </c>
      <c r="BD284" s="86">
        <f t="shared" si="76"/>
        <v>0</v>
      </c>
      <c r="BE284" s="86">
        <f t="shared" si="76"/>
        <v>0</v>
      </c>
    </row>
    <row r="285" spans="1:57">
      <c r="BA285" s="83">
        <v>282</v>
      </c>
      <c r="BB285" s="84">
        <f t="shared" si="77"/>
        <v>0</v>
      </c>
      <c r="BC285" s="85">
        <f t="shared" si="78"/>
        <v>0</v>
      </c>
      <c r="BD285" s="86">
        <f t="shared" si="76"/>
        <v>0</v>
      </c>
      <c r="BE285" s="86">
        <f t="shared" si="76"/>
        <v>0</v>
      </c>
    </row>
    <row r="286" spans="1:57">
      <c r="BA286" s="83">
        <v>283</v>
      </c>
      <c r="BB286" s="84">
        <f t="shared" si="77"/>
        <v>0</v>
      </c>
      <c r="BC286" s="85">
        <f t="shared" si="78"/>
        <v>0</v>
      </c>
      <c r="BD286" s="86">
        <f t="shared" si="76"/>
        <v>0</v>
      </c>
      <c r="BE286" s="86">
        <f t="shared" si="76"/>
        <v>0</v>
      </c>
    </row>
    <row r="287" spans="1:57">
      <c r="BA287" s="83">
        <v>284</v>
      </c>
      <c r="BB287" s="84">
        <f t="shared" si="77"/>
        <v>0</v>
      </c>
      <c r="BC287" s="85">
        <f t="shared" si="78"/>
        <v>0</v>
      </c>
      <c r="BD287" s="86">
        <f t="shared" si="76"/>
        <v>0</v>
      </c>
      <c r="BE287" s="86">
        <f t="shared" si="76"/>
        <v>0</v>
      </c>
    </row>
    <row r="288" spans="1:57">
      <c r="BA288" s="83">
        <v>285</v>
      </c>
      <c r="BB288" s="84">
        <f t="shared" si="77"/>
        <v>0</v>
      </c>
      <c r="BC288" s="85">
        <f t="shared" si="78"/>
        <v>0</v>
      </c>
      <c r="BD288" s="86">
        <f t="shared" si="76"/>
        <v>0</v>
      </c>
      <c r="BE288" s="86">
        <f t="shared" si="76"/>
        <v>0</v>
      </c>
    </row>
    <row r="289" spans="53:57">
      <c r="BA289" s="83">
        <v>286</v>
      </c>
      <c r="BB289" s="84">
        <f t="shared" si="77"/>
        <v>0</v>
      </c>
      <c r="BC289" s="85">
        <f t="shared" si="78"/>
        <v>0</v>
      </c>
      <c r="BD289" s="86">
        <f t="shared" si="76"/>
        <v>0</v>
      </c>
      <c r="BE289" s="86">
        <f t="shared" si="76"/>
        <v>0</v>
      </c>
    </row>
    <row r="290" spans="53:57">
      <c r="BA290" s="83">
        <v>287</v>
      </c>
      <c r="BB290" s="84">
        <f t="shared" si="77"/>
        <v>0</v>
      </c>
      <c r="BC290" s="85">
        <f t="shared" si="78"/>
        <v>0</v>
      </c>
      <c r="BD290" s="86">
        <f t="shared" si="76"/>
        <v>0</v>
      </c>
      <c r="BE290" s="86">
        <f t="shared" si="76"/>
        <v>0</v>
      </c>
    </row>
    <row r="291" spans="53:57">
      <c r="BA291" s="83">
        <v>288</v>
      </c>
      <c r="BB291" s="84">
        <f t="shared" si="77"/>
        <v>0</v>
      </c>
      <c r="BC291" s="85">
        <f t="shared" si="78"/>
        <v>0</v>
      </c>
      <c r="BD291" s="86">
        <f t="shared" si="76"/>
        <v>0</v>
      </c>
      <c r="BE291" s="86">
        <f t="shared" si="76"/>
        <v>0</v>
      </c>
    </row>
    <row r="292" spans="53:57">
      <c r="BA292" s="83">
        <v>289</v>
      </c>
      <c r="BB292" s="84">
        <f t="shared" si="77"/>
        <v>0</v>
      </c>
      <c r="BC292" s="85">
        <f t="shared" si="78"/>
        <v>0</v>
      </c>
      <c r="BD292" s="86">
        <f t="shared" si="76"/>
        <v>0</v>
      </c>
      <c r="BE292" s="86">
        <f t="shared" si="76"/>
        <v>0</v>
      </c>
    </row>
    <row r="293" spans="53:57">
      <c r="BA293" s="83">
        <v>290</v>
      </c>
      <c r="BB293" s="84">
        <f t="shared" si="77"/>
        <v>0</v>
      </c>
      <c r="BC293" s="85">
        <f t="shared" si="78"/>
        <v>0</v>
      </c>
      <c r="BD293" s="86">
        <f t="shared" si="76"/>
        <v>0</v>
      </c>
      <c r="BE293" s="86">
        <f t="shared" si="76"/>
        <v>0</v>
      </c>
    </row>
    <row r="294" spans="53:57">
      <c r="BA294" s="83">
        <v>291</v>
      </c>
      <c r="BB294" s="84">
        <f>COUNTA(H218:I218)</f>
        <v>0</v>
      </c>
      <c r="BC294" s="85">
        <f>COUNTA(X218)</f>
        <v>0</v>
      </c>
      <c r="BD294" s="86">
        <f t="shared" ref="BD294:BE323" si="79">BB294-COUNTA(H218)</f>
        <v>0</v>
      </c>
      <c r="BE294" s="86">
        <f t="shared" si="79"/>
        <v>0</v>
      </c>
    </row>
    <row r="295" spans="53:57">
      <c r="BA295" s="83">
        <v>292</v>
      </c>
      <c r="BB295" s="84">
        <f t="shared" ref="BB295:BB323" si="80">COUNTA(H219:I219)</f>
        <v>0</v>
      </c>
      <c r="BC295" s="85">
        <f t="shared" ref="BC295:BC323" si="81">COUNTA(X219)</f>
        <v>0</v>
      </c>
      <c r="BD295" s="86">
        <f t="shared" si="79"/>
        <v>0</v>
      </c>
      <c r="BE295" s="86">
        <f t="shared" si="79"/>
        <v>0</v>
      </c>
    </row>
    <row r="296" spans="53:57">
      <c r="BA296" s="83">
        <v>293</v>
      </c>
      <c r="BB296" s="84">
        <f t="shared" si="80"/>
        <v>0</v>
      </c>
      <c r="BC296" s="85">
        <f t="shared" si="81"/>
        <v>0</v>
      </c>
      <c r="BD296" s="86">
        <f t="shared" si="79"/>
        <v>0</v>
      </c>
      <c r="BE296" s="86">
        <f t="shared" si="79"/>
        <v>0</v>
      </c>
    </row>
    <row r="297" spans="53:57">
      <c r="BA297" s="83">
        <v>294</v>
      </c>
      <c r="BB297" s="84">
        <f t="shared" si="80"/>
        <v>0</v>
      </c>
      <c r="BC297" s="85">
        <f t="shared" si="81"/>
        <v>0</v>
      </c>
      <c r="BD297" s="86">
        <f t="shared" si="79"/>
        <v>0</v>
      </c>
      <c r="BE297" s="86">
        <f t="shared" si="79"/>
        <v>0</v>
      </c>
    </row>
    <row r="298" spans="53:57">
      <c r="BA298" s="83">
        <v>295</v>
      </c>
      <c r="BB298" s="84">
        <f t="shared" si="80"/>
        <v>0</v>
      </c>
      <c r="BC298" s="85">
        <f t="shared" si="81"/>
        <v>0</v>
      </c>
      <c r="BD298" s="86">
        <f t="shared" si="79"/>
        <v>0</v>
      </c>
      <c r="BE298" s="86">
        <f t="shared" si="79"/>
        <v>0</v>
      </c>
    </row>
    <row r="299" spans="53:57">
      <c r="BA299" s="83">
        <v>296</v>
      </c>
      <c r="BB299" s="84">
        <f t="shared" si="80"/>
        <v>0</v>
      </c>
      <c r="BC299" s="85">
        <f t="shared" si="81"/>
        <v>0</v>
      </c>
      <c r="BD299" s="86">
        <f t="shared" si="79"/>
        <v>0</v>
      </c>
      <c r="BE299" s="86">
        <f t="shared" si="79"/>
        <v>0</v>
      </c>
    </row>
    <row r="300" spans="53:57">
      <c r="BA300" s="83">
        <v>297</v>
      </c>
      <c r="BB300" s="84">
        <f t="shared" si="80"/>
        <v>0</v>
      </c>
      <c r="BC300" s="85">
        <f t="shared" si="81"/>
        <v>0</v>
      </c>
      <c r="BD300" s="86">
        <f t="shared" si="79"/>
        <v>0</v>
      </c>
      <c r="BE300" s="86">
        <f t="shared" si="79"/>
        <v>0</v>
      </c>
    </row>
    <row r="301" spans="53:57">
      <c r="BA301" s="83">
        <v>298</v>
      </c>
      <c r="BB301" s="84">
        <f t="shared" si="80"/>
        <v>0</v>
      </c>
      <c r="BC301" s="85">
        <f t="shared" si="81"/>
        <v>0</v>
      </c>
      <c r="BD301" s="86">
        <f t="shared" si="79"/>
        <v>0</v>
      </c>
      <c r="BE301" s="86">
        <f t="shared" si="79"/>
        <v>0</v>
      </c>
    </row>
    <row r="302" spans="53:57">
      <c r="BA302" s="83">
        <v>299</v>
      </c>
      <c r="BB302" s="84">
        <f t="shared" si="80"/>
        <v>0</v>
      </c>
      <c r="BC302" s="85">
        <f t="shared" si="81"/>
        <v>0</v>
      </c>
      <c r="BD302" s="86">
        <f t="shared" si="79"/>
        <v>0</v>
      </c>
      <c r="BE302" s="86">
        <f t="shared" si="79"/>
        <v>0</v>
      </c>
    </row>
    <row r="303" spans="53:57">
      <c r="BA303" s="83">
        <v>300</v>
      </c>
      <c r="BB303" s="84">
        <f t="shared" si="80"/>
        <v>0</v>
      </c>
      <c r="BC303" s="85">
        <f t="shared" si="81"/>
        <v>0</v>
      </c>
      <c r="BD303" s="86">
        <f t="shared" si="79"/>
        <v>0</v>
      </c>
      <c r="BE303" s="86">
        <f t="shared" si="79"/>
        <v>0</v>
      </c>
    </row>
    <row r="304" spans="53:57">
      <c r="BA304" s="83">
        <v>301</v>
      </c>
      <c r="BB304" s="84">
        <f t="shared" si="80"/>
        <v>0</v>
      </c>
      <c r="BC304" s="85">
        <f t="shared" si="81"/>
        <v>0</v>
      </c>
      <c r="BD304" s="86">
        <f t="shared" si="79"/>
        <v>0</v>
      </c>
      <c r="BE304" s="86">
        <f t="shared" si="79"/>
        <v>0</v>
      </c>
    </row>
    <row r="305" spans="53:57">
      <c r="BA305" s="83">
        <v>302</v>
      </c>
      <c r="BB305" s="84">
        <f t="shared" si="80"/>
        <v>0</v>
      </c>
      <c r="BC305" s="85">
        <f t="shared" si="81"/>
        <v>0</v>
      </c>
      <c r="BD305" s="86">
        <f t="shared" si="79"/>
        <v>0</v>
      </c>
      <c r="BE305" s="86">
        <f t="shared" si="79"/>
        <v>0</v>
      </c>
    </row>
    <row r="306" spans="53:57">
      <c r="BA306" s="83">
        <v>303</v>
      </c>
      <c r="BB306" s="84">
        <f t="shared" si="80"/>
        <v>0</v>
      </c>
      <c r="BC306" s="85">
        <f t="shared" si="81"/>
        <v>0</v>
      </c>
      <c r="BD306" s="86">
        <f t="shared" si="79"/>
        <v>0</v>
      </c>
      <c r="BE306" s="86">
        <f t="shared" si="79"/>
        <v>0</v>
      </c>
    </row>
    <row r="307" spans="53:57">
      <c r="BA307" s="83">
        <v>304</v>
      </c>
      <c r="BB307" s="84">
        <f t="shared" si="80"/>
        <v>0</v>
      </c>
      <c r="BC307" s="85">
        <f t="shared" si="81"/>
        <v>0</v>
      </c>
      <c r="BD307" s="86">
        <f t="shared" si="79"/>
        <v>0</v>
      </c>
      <c r="BE307" s="86">
        <f t="shared" si="79"/>
        <v>0</v>
      </c>
    </row>
    <row r="308" spans="53:57">
      <c r="BA308" s="83">
        <v>305</v>
      </c>
      <c r="BB308" s="84">
        <f t="shared" si="80"/>
        <v>0</v>
      </c>
      <c r="BC308" s="85">
        <f t="shared" si="81"/>
        <v>0</v>
      </c>
      <c r="BD308" s="86">
        <f t="shared" si="79"/>
        <v>0</v>
      </c>
      <c r="BE308" s="86">
        <f t="shared" si="79"/>
        <v>0</v>
      </c>
    </row>
    <row r="309" spans="53:57">
      <c r="BA309" s="83">
        <v>306</v>
      </c>
      <c r="BB309" s="84">
        <f t="shared" si="80"/>
        <v>0</v>
      </c>
      <c r="BC309" s="85">
        <f t="shared" si="81"/>
        <v>0</v>
      </c>
      <c r="BD309" s="86">
        <f t="shared" si="79"/>
        <v>0</v>
      </c>
      <c r="BE309" s="86">
        <f t="shared" si="79"/>
        <v>0</v>
      </c>
    </row>
    <row r="310" spans="53:57">
      <c r="BA310" s="83">
        <v>307</v>
      </c>
      <c r="BB310" s="84">
        <f t="shared" si="80"/>
        <v>0</v>
      </c>
      <c r="BC310" s="85">
        <f t="shared" si="81"/>
        <v>0</v>
      </c>
      <c r="BD310" s="86">
        <f t="shared" si="79"/>
        <v>0</v>
      </c>
      <c r="BE310" s="86">
        <f t="shared" si="79"/>
        <v>0</v>
      </c>
    </row>
    <row r="311" spans="53:57">
      <c r="BA311" s="83">
        <v>308</v>
      </c>
      <c r="BB311" s="84">
        <f t="shared" si="80"/>
        <v>0</v>
      </c>
      <c r="BC311" s="85">
        <f t="shared" si="81"/>
        <v>0</v>
      </c>
      <c r="BD311" s="86">
        <f t="shared" si="79"/>
        <v>0</v>
      </c>
      <c r="BE311" s="86">
        <f t="shared" si="79"/>
        <v>0</v>
      </c>
    </row>
    <row r="312" spans="53:57">
      <c r="BA312" s="83">
        <v>309</v>
      </c>
      <c r="BB312" s="84">
        <f t="shared" si="80"/>
        <v>0</v>
      </c>
      <c r="BC312" s="85">
        <f t="shared" si="81"/>
        <v>0</v>
      </c>
      <c r="BD312" s="86">
        <f t="shared" si="79"/>
        <v>0</v>
      </c>
      <c r="BE312" s="86">
        <f t="shared" si="79"/>
        <v>0</v>
      </c>
    </row>
    <row r="313" spans="53:57">
      <c r="BA313" s="83">
        <v>310</v>
      </c>
      <c r="BB313" s="84">
        <f t="shared" si="80"/>
        <v>0</v>
      </c>
      <c r="BC313" s="85">
        <f t="shared" si="81"/>
        <v>0</v>
      </c>
      <c r="BD313" s="86">
        <f t="shared" si="79"/>
        <v>0</v>
      </c>
      <c r="BE313" s="86">
        <f t="shared" si="79"/>
        <v>0</v>
      </c>
    </row>
    <row r="314" spans="53:57">
      <c r="BA314" s="83">
        <v>311</v>
      </c>
      <c r="BB314" s="84">
        <f t="shared" si="80"/>
        <v>0</v>
      </c>
      <c r="BC314" s="85">
        <f t="shared" si="81"/>
        <v>0</v>
      </c>
      <c r="BD314" s="86">
        <f t="shared" si="79"/>
        <v>0</v>
      </c>
      <c r="BE314" s="86">
        <f t="shared" si="79"/>
        <v>0</v>
      </c>
    </row>
    <row r="315" spans="53:57">
      <c r="BA315" s="83">
        <v>312</v>
      </c>
      <c r="BB315" s="84">
        <f t="shared" si="80"/>
        <v>0</v>
      </c>
      <c r="BC315" s="85">
        <f t="shared" si="81"/>
        <v>0</v>
      </c>
      <c r="BD315" s="86">
        <f t="shared" si="79"/>
        <v>0</v>
      </c>
      <c r="BE315" s="86">
        <f t="shared" si="79"/>
        <v>0</v>
      </c>
    </row>
    <row r="316" spans="53:57">
      <c r="BA316" s="83">
        <v>313</v>
      </c>
      <c r="BB316" s="84">
        <f t="shared" si="80"/>
        <v>0</v>
      </c>
      <c r="BC316" s="85">
        <f t="shared" si="81"/>
        <v>0</v>
      </c>
      <c r="BD316" s="86">
        <f t="shared" si="79"/>
        <v>0</v>
      </c>
      <c r="BE316" s="86">
        <f t="shared" si="79"/>
        <v>0</v>
      </c>
    </row>
    <row r="317" spans="53:57">
      <c r="BA317" s="83">
        <v>314</v>
      </c>
      <c r="BB317" s="84">
        <f t="shared" si="80"/>
        <v>0</v>
      </c>
      <c r="BC317" s="85">
        <f t="shared" si="81"/>
        <v>0</v>
      </c>
      <c r="BD317" s="86">
        <f t="shared" si="79"/>
        <v>0</v>
      </c>
      <c r="BE317" s="86">
        <f t="shared" si="79"/>
        <v>0</v>
      </c>
    </row>
    <row r="318" spans="53:57">
      <c r="BA318" s="83">
        <v>315</v>
      </c>
      <c r="BB318" s="84">
        <f t="shared" si="80"/>
        <v>0</v>
      </c>
      <c r="BC318" s="85">
        <f t="shared" si="81"/>
        <v>0</v>
      </c>
      <c r="BD318" s="86">
        <f t="shared" si="79"/>
        <v>0</v>
      </c>
      <c r="BE318" s="86">
        <f t="shared" si="79"/>
        <v>0</v>
      </c>
    </row>
    <row r="319" spans="53:57">
      <c r="BA319" s="83">
        <v>316</v>
      </c>
      <c r="BB319" s="84">
        <f t="shared" si="80"/>
        <v>0</v>
      </c>
      <c r="BC319" s="85">
        <f t="shared" si="81"/>
        <v>0</v>
      </c>
      <c r="BD319" s="86">
        <f t="shared" si="79"/>
        <v>0</v>
      </c>
      <c r="BE319" s="86">
        <f t="shared" si="79"/>
        <v>0</v>
      </c>
    </row>
    <row r="320" spans="53:57">
      <c r="BA320" s="83">
        <v>317</v>
      </c>
      <c r="BB320" s="84">
        <f t="shared" si="80"/>
        <v>0</v>
      </c>
      <c r="BC320" s="85">
        <f t="shared" si="81"/>
        <v>0</v>
      </c>
      <c r="BD320" s="86">
        <f t="shared" si="79"/>
        <v>0</v>
      </c>
      <c r="BE320" s="86">
        <f t="shared" si="79"/>
        <v>0</v>
      </c>
    </row>
    <row r="321" spans="53:57">
      <c r="BA321" s="83">
        <v>318</v>
      </c>
      <c r="BB321" s="84">
        <f t="shared" si="80"/>
        <v>0</v>
      </c>
      <c r="BC321" s="85">
        <f t="shared" si="81"/>
        <v>0</v>
      </c>
      <c r="BD321" s="86">
        <f t="shared" si="79"/>
        <v>0</v>
      </c>
      <c r="BE321" s="86">
        <f t="shared" si="79"/>
        <v>0</v>
      </c>
    </row>
    <row r="322" spans="53:57">
      <c r="BA322" s="83">
        <v>319</v>
      </c>
      <c r="BB322" s="84">
        <f t="shared" si="80"/>
        <v>0</v>
      </c>
      <c r="BC322" s="85">
        <f t="shared" si="81"/>
        <v>0</v>
      </c>
      <c r="BD322" s="86">
        <f t="shared" si="79"/>
        <v>0</v>
      </c>
      <c r="BE322" s="86">
        <f t="shared" si="79"/>
        <v>0</v>
      </c>
    </row>
    <row r="323" spans="53:57">
      <c r="BA323" s="83">
        <v>320</v>
      </c>
      <c r="BB323" s="84">
        <f t="shared" si="80"/>
        <v>0</v>
      </c>
      <c r="BC323" s="85">
        <f t="shared" si="81"/>
        <v>0</v>
      </c>
      <c r="BD323" s="86">
        <f t="shared" si="79"/>
        <v>0</v>
      </c>
      <c r="BE323" s="86">
        <f t="shared" si="79"/>
        <v>0</v>
      </c>
    </row>
    <row r="324" spans="53:57">
      <c r="BA324" s="79"/>
      <c r="BB324" s="79"/>
      <c r="BC324" s="79"/>
      <c r="BD324" s="79"/>
      <c r="BE324" s="79"/>
    </row>
  </sheetData>
  <sheetProtection algorithmName="SHA-512" hashValue="+/Rh+E1qUt47miH2NAkuBmsE0rDYO058ZoT3/fma8CJDdiefv3VH5386R8CauznmdsTTL2j0z0kZ545Bia1+jQ==" saltValue="kXv8fRaeshRuJqaaIuM61Q==" spinCount="100000" sheet="1" selectLockedCells="1"/>
  <dataConsolidate/>
  <mergeCells count="853">
    <mergeCell ref="W32:Y32"/>
    <mergeCell ref="Q33:S33"/>
    <mergeCell ref="T33:V33"/>
    <mergeCell ref="W33:Y33"/>
    <mergeCell ref="AQ32:AS32"/>
    <mergeCell ref="AT32:AV32"/>
    <mergeCell ref="AW32:AY32"/>
    <mergeCell ref="AQ33:AS33"/>
    <mergeCell ref="AT33:AV33"/>
    <mergeCell ref="AW33:AY33"/>
    <mergeCell ref="AN32:AP32"/>
    <mergeCell ref="AE32:AG32"/>
    <mergeCell ref="Q32:S32"/>
    <mergeCell ref="AA32:AA33"/>
    <mergeCell ref="AB32:AD32"/>
    <mergeCell ref="AB33:AD33"/>
    <mergeCell ref="AH32:AJ32"/>
    <mergeCell ref="AK32:AM32"/>
    <mergeCell ref="AA28:AU28"/>
    <mergeCell ref="AA29:AA30"/>
    <mergeCell ref="AB29:AC29"/>
    <mergeCell ref="AD29:AE29"/>
    <mergeCell ref="AF29:AG29"/>
    <mergeCell ref="AH29:AI29"/>
    <mergeCell ref="AJ29:AK29"/>
    <mergeCell ref="AL29:AM29"/>
    <mergeCell ref="AN29:AO29"/>
    <mergeCell ref="AR29:AS29"/>
    <mergeCell ref="AT29:AU29"/>
    <mergeCell ref="AB30:AC30"/>
    <mergeCell ref="AD30:AE30"/>
    <mergeCell ref="AF30:AG30"/>
    <mergeCell ref="AH30:AI30"/>
    <mergeCell ref="AJ30:AK30"/>
    <mergeCell ref="AL30:AM30"/>
    <mergeCell ref="AN30:AO30"/>
    <mergeCell ref="AR30:AS30"/>
    <mergeCell ref="AT30:AU30"/>
    <mergeCell ref="AP30:AQ30"/>
    <mergeCell ref="AP29:AQ29"/>
    <mergeCell ref="A28:U28"/>
    <mergeCell ref="A26:Z27"/>
    <mergeCell ref="L29:M29"/>
    <mergeCell ref="N29:O29"/>
    <mergeCell ref="A29:A30"/>
    <mergeCell ref="P29:Q29"/>
    <mergeCell ref="H30:I30"/>
    <mergeCell ref="J30:K30"/>
    <mergeCell ref="L30:M30"/>
    <mergeCell ref="N30:O30"/>
    <mergeCell ref="P30:Q30"/>
    <mergeCell ref="AB251:AZ251"/>
    <mergeCell ref="K255:L255"/>
    <mergeCell ref="K256:L256"/>
    <mergeCell ref="BN7:BO7"/>
    <mergeCell ref="BN8:BO8"/>
    <mergeCell ref="U5:V5"/>
    <mergeCell ref="L5:L6"/>
    <mergeCell ref="AI5:AI6"/>
    <mergeCell ref="U6:V6"/>
    <mergeCell ref="W6:X6"/>
    <mergeCell ref="AE5:AE6"/>
    <mergeCell ref="BN9:BO9"/>
    <mergeCell ref="BN10:BO10"/>
    <mergeCell ref="AO16:AT16"/>
    <mergeCell ref="AB14:AG14"/>
    <mergeCell ref="A24:Z24"/>
    <mergeCell ref="B14:G14"/>
    <mergeCell ref="O14:T14"/>
    <mergeCell ref="AO14:AT14"/>
    <mergeCell ref="AO15:AT15"/>
    <mergeCell ref="AB15:AG15"/>
    <mergeCell ref="AO19:AT19"/>
    <mergeCell ref="AN8:AN12"/>
    <mergeCell ref="AO8:AT12"/>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W6:AX6"/>
    <mergeCell ref="AW2:AX2"/>
    <mergeCell ref="AY2:AZ2"/>
    <mergeCell ref="A4:B4"/>
    <mergeCell ref="AA4:AB4"/>
    <mergeCell ref="AC4:AT4"/>
    <mergeCell ref="F5:F6"/>
    <mergeCell ref="G5:G6"/>
    <mergeCell ref="K5:K6"/>
    <mergeCell ref="AU8:AV9"/>
    <mergeCell ref="AJ10:AJ12"/>
    <mergeCell ref="AH10:AH12"/>
    <mergeCell ref="AI10:AI12"/>
    <mergeCell ref="U10:U12"/>
    <mergeCell ref="V10:V12"/>
    <mergeCell ref="AF5:AF6"/>
    <mergeCell ref="H10:H12"/>
    <mergeCell ref="N5:N6"/>
    <mergeCell ref="O5:O6"/>
    <mergeCell ref="P5:P6"/>
    <mergeCell ref="Q5:Q6"/>
    <mergeCell ref="AK5:AK6"/>
    <mergeCell ref="T5:T6"/>
    <mergeCell ref="AA5:AB6"/>
    <mergeCell ref="AC5:AD6"/>
    <mergeCell ref="AH5:AH6"/>
    <mergeCell ref="AG5:AG6"/>
    <mergeCell ref="AR5:AR6"/>
    <mergeCell ref="AS5:AS6"/>
    <mergeCell ref="AN5:AN6"/>
    <mergeCell ref="H5:H6"/>
    <mergeCell ref="I5:I6"/>
    <mergeCell ref="J5:J6"/>
    <mergeCell ref="B19:G19"/>
    <mergeCell ref="O19:T19"/>
    <mergeCell ref="AB19:AG19"/>
    <mergeCell ref="AO17:AT17"/>
    <mergeCell ref="O16:T16"/>
    <mergeCell ref="AB16:AG16"/>
    <mergeCell ref="A8:A12"/>
    <mergeCell ref="B8:G12"/>
    <mergeCell ref="H8:I9"/>
    <mergeCell ref="AH8:AI9"/>
    <mergeCell ref="W10:W12"/>
    <mergeCell ref="O8:T12"/>
    <mergeCell ref="U8:V9"/>
    <mergeCell ref="N8:N12"/>
    <mergeCell ref="AA8:AA12"/>
    <mergeCell ref="AB8:AG12"/>
    <mergeCell ref="AB17:AG17"/>
    <mergeCell ref="AA26:AZ26"/>
    <mergeCell ref="AA24:AZ24"/>
    <mergeCell ref="AA25:AZ25"/>
    <mergeCell ref="AO21:AT21"/>
    <mergeCell ref="AB21:AG21"/>
    <mergeCell ref="AO13:AT13"/>
    <mergeCell ref="O13:T13"/>
    <mergeCell ref="AB13:AG13"/>
    <mergeCell ref="I10:I12"/>
    <mergeCell ref="J10:J12"/>
    <mergeCell ref="AU10:AU12"/>
    <mergeCell ref="AV10:AV12"/>
    <mergeCell ref="AB22:AG22"/>
    <mergeCell ref="AO22:AT22"/>
    <mergeCell ref="O21:T21"/>
    <mergeCell ref="O17:T17"/>
    <mergeCell ref="O15:T15"/>
    <mergeCell ref="O18:T18"/>
    <mergeCell ref="AB18:AG18"/>
    <mergeCell ref="AO18:AT18"/>
    <mergeCell ref="O20:T20"/>
    <mergeCell ref="AB20:AG20"/>
    <mergeCell ref="AO20:AT20"/>
    <mergeCell ref="AW10:AW12"/>
    <mergeCell ref="M5:M6"/>
    <mergeCell ref="O155:T155"/>
    <mergeCell ref="O245:T245"/>
    <mergeCell ref="O244:T244"/>
    <mergeCell ref="B243:G243"/>
    <mergeCell ref="O243:T243"/>
    <mergeCell ref="K241:M241"/>
    <mergeCell ref="K10:M12"/>
    <mergeCell ref="J8:M9"/>
    <mergeCell ref="B13:G13"/>
    <mergeCell ref="R5:R6"/>
    <mergeCell ref="F81:F82"/>
    <mergeCell ref="B16:G16"/>
    <mergeCell ref="B21:G21"/>
    <mergeCell ref="B17:G17"/>
    <mergeCell ref="B15:G15"/>
    <mergeCell ref="B18:G18"/>
    <mergeCell ref="B20:G20"/>
    <mergeCell ref="H43:H45"/>
    <mergeCell ref="B66:G66"/>
    <mergeCell ref="B29:C29"/>
    <mergeCell ref="D29:E29"/>
    <mergeCell ref="F29:G29"/>
    <mergeCell ref="B46:G46"/>
    <mergeCell ref="B247:G247"/>
    <mergeCell ref="O247:T247"/>
    <mergeCell ref="B246:G246"/>
    <mergeCell ref="O246:T246"/>
    <mergeCell ref="B245:G245"/>
    <mergeCell ref="B244:G244"/>
    <mergeCell ref="T32:V32"/>
    <mergeCell ref="P38:P39"/>
    <mergeCell ref="I43:I45"/>
    <mergeCell ref="J41:M42"/>
    <mergeCell ref="K43:M45"/>
    <mergeCell ref="J43:J45"/>
    <mergeCell ref="B32:D32"/>
    <mergeCell ref="K32:M32"/>
    <mergeCell ref="N32:P32"/>
    <mergeCell ref="B33:D33"/>
    <mergeCell ref="H41:I42"/>
    <mergeCell ref="B52:G52"/>
    <mergeCell ref="O52:T52"/>
    <mergeCell ref="T38:T39"/>
    <mergeCell ref="O38:O39"/>
    <mergeCell ref="X43:Z45"/>
    <mergeCell ref="W43:W45"/>
    <mergeCell ref="O50:T50"/>
    <mergeCell ref="N41:N45"/>
    <mergeCell ref="O41:T45"/>
    <mergeCell ref="B22:G22"/>
    <mergeCell ref="O22:T22"/>
    <mergeCell ref="H29:I29"/>
    <mergeCell ref="J29:K29"/>
    <mergeCell ref="A25:Z25"/>
    <mergeCell ref="R29:S29"/>
    <mergeCell ref="R30:S30"/>
    <mergeCell ref="T29:U29"/>
    <mergeCell ref="T30:U30"/>
    <mergeCell ref="C38:D39"/>
    <mergeCell ref="A32:A33"/>
    <mergeCell ref="H33:J33"/>
    <mergeCell ref="K33:M33"/>
    <mergeCell ref="N33:P33"/>
    <mergeCell ref="B30:C30"/>
    <mergeCell ref="D30:E30"/>
    <mergeCell ref="F30:G30"/>
    <mergeCell ref="C37:T37"/>
    <mergeCell ref="A41:A45"/>
    <mergeCell ref="B41:G45"/>
    <mergeCell ref="AA34:AZ37"/>
    <mergeCell ref="AE33:AG33"/>
    <mergeCell ref="AH33:AJ33"/>
    <mergeCell ref="AK33:AM33"/>
    <mergeCell ref="AN33:AP33"/>
    <mergeCell ref="AA38:AZ50"/>
    <mergeCell ref="W39:X39"/>
    <mergeCell ref="I38:I39"/>
    <mergeCell ref="U38:V38"/>
    <mergeCell ref="K38:K39"/>
    <mergeCell ref="L38:L39"/>
    <mergeCell ref="U39:V39"/>
    <mergeCell ref="U41:V42"/>
    <mergeCell ref="O47:T47"/>
    <mergeCell ref="O48:T48"/>
    <mergeCell ref="M38:M39"/>
    <mergeCell ref="N38:N39"/>
    <mergeCell ref="W41:Z42"/>
    <mergeCell ref="Q38:Q39"/>
    <mergeCell ref="R38:R39"/>
    <mergeCell ref="S38:S39"/>
    <mergeCell ref="O70:T70"/>
    <mergeCell ref="B69:G69"/>
    <mergeCell ref="B67:G67"/>
    <mergeCell ref="B68:G68"/>
    <mergeCell ref="E38:E39"/>
    <mergeCell ref="F38:F39"/>
    <mergeCell ref="G38:G39"/>
    <mergeCell ref="H38:H39"/>
    <mergeCell ref="E32:G32"/>
    <mergeCell ref="H32:J32"/>
    <mergeCell ref="A34:Z34"/>
    <mergeCell ref="A37:B37"/>
    <mergeCell ref="E33:G33"/>
    <mergeCell ref="B70:G70"/>
    <mergeCell ref="Y35:Z35"/>
    <mergeCell ref="A38:B39"/>
    <mergeCell ref="O63:T63"/>
    <mergeCell ref="O67:T67"/>
    <mergeCell ref="O68:T68"/>
    <mergeCell ref="O69:T69"/>
    <mergeCell ref="J38:J39"/>
    <mergeCell ref="V43:V45"/>
    <mergeCell ref="W35:X35"/>
    <mergeCell ref="U43:U45"/>
    <mergeCell ref="B71:G71"/>
    <mergeCell ref="B53:G53"/>
    <mergeCell ref="O53:T53"/>
    <mergeCell ref="B72:G72"/>
    <mergeCell ref="B74:G74"/>
    <mergeCell ref="B47:G47"/>
    <mergeCell ref="B51:G51"/>
    <mergeCell ref="O51:T51"/>
    <mergeCell ref="B48:G48"/>
    <mergeCell ref="B49:G49"/>
    <mergeCell ref="O49:T49"/>
    <mergeCell ref="B50:G50"/>
    <mergeCell ref="B73:G73"/>
    <mergeCell ref="O73:T73"/>
    <mergeCell ref="B57:G57"/>
    <mergeCell ref="O57:T57"/>
    <mergeCell ref="B54:G54"/>
    <mergeCell ref="O54:T54"/>
    <mergeCell ref="B55:G55"/>
    <mergeCell ref="O66:T66"/>
    <mergeCell ref="B65:G65"/>
    <mergeCell ref="B62:G62"/>
    <mergeCell ref="O62:T62"/>
    <mergeCell ref="B63:G63"/>
    <mergeCell ref="U84:V85"/>
    <mergeCell ref="N84:N88"/>
    <mergeCell ref="O84:T88"/>
    <mergeCell ref="U86:U88"/>
    <mergeCell ref="V86:V88"/>
    <mergeCell ref="A84:A88"/>
    <mergeCell ref="B84:G88"/>
    <mergeCell ref="H84:I85"/>
    <mergeCell ref="H86:H88"/>
    <mergeCell ref="I86:I88"/>
    <mergeCell ref="O74:T74"/>
    <mergeCell ref="L81:L82"/>
    <mergeCell ref="M81:M82"/>
    <mergeCell ref="G81:G82"/>
    <mergeCell ref="H81:H82"/>
    <mergeCell ref="B75:G75"/>
    <mergeCell ref="K81:K82"/>
    <mergeCell ref="P81:P82"/>
    <mergeCell ref="O90:T90"/>
    <mergeCell ref="B90:G90"/>
    <mergeCell ref="B89:G89"/>
    <mergeCell ref="J86:J88"/>
    <mergeCell ref="A81:B82"/>
    <mergeCell ref="E81:E82"/>
    <mergeCell ref="I81:I82"/>
    <mergeCell ref="S81:S82"/>
    <mergeCell ref="T81:T82"/>
    <mergeCell ref="B91:G91"/>
    <mergeCell ref="O91:T91"/>
    <mergeCell ref="B102:G102"/>
    <mergeCell ref="O102:T102"/>
    <mergeCell ref="B103:G103"/>
    <mergeCell ref="O103:T103"/>
    <mergeCell ref="B115:G115"/>
    <mergeCell ref="O115:T115"/>
    <mergeCell ref="B113:G113"/>
    <mergeCell ref="B114:G114"/>
    <mergeCell ref="B94:G94"/>
    <mergeCell ref="O94:T94"/>
    <mergeCell ref="O113:T113"/>
    <mergeCell ref="O114:T114"/>
    <mergeCell ref="B112:G112"/>
    <mergeCell ref="O112:T112"/>
    <mergeCell ref="B110:G110"/>
    <mergeCell ref="O110:T110"/>
    <mergeCell ref="B98:G98"/>
    <mergeCell ref="O98:T98"/>
    <mergeCell ref="B99:G99"/>
    <mergeCell ref="O99:T99"/>
    <mergeCell ref="B96:G96"/>
    <mergeCell ref="O96:T96"/>
    <mergeCell ref="X247:Z247"/>
    <mergeCell ref="U172:U174"/>
    <mergeCell ref="O197:T197"/>
    <mergeCell ref="B198:G198"/>
    <mergeCell ref="O198:T198"/>
    <mergeCell ref="B197:G197"/>
    <mergeCell ref="B175:G175"/>
    <mergeCell ref="B199:G199"/>
    <mergeCell ref="O199:T199"/>
    <mergeCell ref="B200:G200"/>
    <mergeCell ref="O200:T200"/>
    <mergeCell ref="O202:T202"/>
    <mergeCell ref="B203:G203"/>
    <mergeCell ref="K245:M245"/>
    <mergeCell ref="K246:M246"/>
    <mergeCell ref="K247:M247"/>
    <mergeCell ref="X238:Z238"/>
    <mergeCell ref="X239:Z239"/>
    <mergeCell ref="X240:Z240"/>
    <mergeCell ref="X245:Z245"/>
    <mergeCell ref="X246:Z246"/>
    <mergeCell ref="K200:M200"/>
    <mergeCell ref="K203:M203"/>
    <mergeCell ref="B204:G204"/>
    <mergeCell ref="B97:G97"/>
    <mergeCell ref="O97:T97"/>
    <mergeCell ref="Y121:Z121"/>
    <mergeCell ref="B95:G95"/>
    <mergeCell ref="O95:T95"/>
    <mergeCell ref="B92:G92"/>
    <mergeCell ref="O92:T92"/>
    <mergeCell ref="B93:G93"/>
    <mergeCell ref="O93:T93"/>
    <mergeCell ref="B104:G104"/>
    <mergeCell ref="O104:T104"/>
    <mergeCell ref="B105:G105"/>
    <mergeCell ref="O105:T105"/>
    <mergeCell ref="B100:G100"/>
    <mergeCell ref="O100:T100"/>
    <mergeCell ref="B101:G101"/>
    <mergeCell ref="O101:T101"/>
    <mergeCell ref="B106:G106"/>
    <mergeCell ref="O106:T106"/>
    <mergeCell ref="B107:G107"/>
    <mergeCell ref="O107:T107"/>
    <mergeCell ref="B159:G159"/>
    <mergeCell ref="B158:G158"/>
    <mergeCell ref="B156:G156"/>
    <mergeCell ref="O156:T156"/>
    <mergeCell ref="J124:J125"/>
    <mergeCell ref="K124:K125"/>
    <mergeCell ref="B132:G132"/>
    <mergeCell ref="O132:T132"/>
    <mergeCell ref="O127:T131"/>
    <mergeCell ref="B111:G111"/>
    <mergeCell ref="B138:G138"/>
    <mergeCell ref="O138:T138"/>
    <mergeCell ref="O158:T158"/>
    <mergeCell ref="O159:T159"/>
    <mergeCell ref="B148:G148"/>
    <mergeCell ref="O148:T148"/>
    <mergeCell ref="B151:G151"/>
    <mergeCell ref="B238:G238"/>
    <mergeCell ref="O238:T238"/>
    <mergeCell ref="R210:R211"/>
    <mergeCell ref="O210:O211"/>
    <mergeCell ref="N210:N211"/>
    <mergeCell ref="N213:N217"/>
    <mergeCell ref="B225:G225"/>
    <mergeCell ref="O225:T225"/>
    <mergeCell ref="K204:M204"/>
    <mergeCell ref="H215:H217"/>
    <mergeCell ref="K237:M237"/>
    <mergeCell ref="B233:G233"/>
    <mergeCell ref="O233:T233"/>
    <mergeCell ref="B234:G234"/>
    <mergeCell ref="O234:T234"/>
    <mergeCell ref="B231:G231"/>
    <mergeCell ref="B227:G227"/>
    <mergeCell ref="O227:T227"/>
    <mergeCell ref="B228:G228"/>
    <mergeCell ref="O228:T228"/>
    <mergeCell ref="K227:M227"/>
    <mergeCell ref="O230:T230"/>
    <mergeCell ref="K229:M229"/>
    <mergeCell ref="K243:M243"/>
    <mergeCell ref="K244:M244"/>
    <mergeCell ref="B241:G241"/>
    <mergeCell ref="O241:T241"/>
    <mergeCell ref="B242:G242"/>
    <mergeCell ref="O242:T242"/>
    <mergeCell ref="H124:H125"/>
    <mergeCell ref="J129:J131"/>
    <mergeCell ref="N127:N131"/>
    <mergeCell ref="T124:T125"/>
    <mergeCell ref="H129:H131"/>
    <mergeCell ref="I129:I131"/>
    <mergeCell ref="B139:G139"/>
    <mergeCell ref="O139:T139"/>
    <mergeCell ref="R124:R125"/>
    <mergeCell ref="S124:S125"/>
    <mergeCell ref="L124:L125"/>
    <mergeCell ref="M124:M125"/>
    <mergeCell ref="N124:N125"/>
    <mergeCell ref="B133:G133"/>
    <mergeCell ref="O133:T133"/>
    <mergeCell ref="B134:G134"/>
    <mergeCell ref="O134:T134"/>
    <mergeCell ref="P124:P125"/>
    <mergeCell ref="F124:F125"/>
    <mergeCell ref="Q124:Q125"/>
    <mergeCell ref="O124:O125"/>
    <mergeCell ref="B127:G131"/>
    <mergeCell ref="H127:I128"/>
    <mergeCell ref="J127:M128"/>
    <mergeCell ref="K242:M242"/>
    <mergeCell ref="B118:G118"/>
    <mergeCell ref="B108:G108"/>
    <mergeCell ref="O108:T108"/>
    <mergeCell ref="B109:G109"/>
    <mergeCell ref="O109:T109"/>
    <mergeCell ref="B117:G117"/>
    <mergeCell ref="B116:G116"/>
    <mergeCell ref="O116:T116"/>
    <mergeCell ref="A120:Z120"/>
    <mergeCell ref="A123:B123"/>
    <mergeCell ref="C123:T123"/>
    <mergeCell ref="A124:B125"/>
    <mergeCell ref="C124:D125"/>
    <mergeCell ref="U124:V124"/>
    <mergeCell ref="U125:V125"/>
    <mergeCell ref="O117:T117"/>
    <mergeCell ref="W121:X121"/>
    <mergeCell ref="I124:I125"/>
    <mergeCell ref="E124:E125"/>
    <mergeCell ref="G124:G125"/>
    <mergeCell ref="B141:G141"/>
    <mergeCell ref="O141:T141"/>
    <mergeCell ref="B142:G142"/>
    <mergeCell ref="O142:T142"/>
    <mergeCell ref="B147:G147"/>
    <mergeCell ref="O147:T147"/>
    <mergeCell ref="B135:G135"/>
    <mergeCell ref="O135:T135"/>
    <mergeCell ref="B136:G136"/>
    <mergeCell ref="O136:T136"/>
    <mergeCell ref="B137:G137"/>
    <mergeCell ref="O137:T137"/>
    <mergeCell ref="B146:G146"/>
    <mergeCell ref="O146:T146"/>
    <mergeCell ref="B143:G143"/>
    <mergeCell ref="O143:T143"/>
    <mergeCell ref="B144:G144"/>
    <mergeCell ref="B145:G145"/>
    <mergeCell ref="O145:T145"/>
    <mergeCell ref="O144:T144"/>
    <mergeCell ref="B140:G140"/>
    <mergeCell ref="A170:A174"/>
    <mergeCell ref="B170:G174"/>
    <mergeCell ref="H170:I171"/>
    <mergeCell ref="W172:W174"/>
    <mergeCell ref="U170:V171"/>
    <mergeCell ref="F167:F168"/>
    <mergeCell ref="T167:T168"/>
    <mergeCell ref="R167:R168"/>
    <mergeCell ref="G167:G168"/>
    <mergeCell ref="Q167:Q168"/>
    <mergeCell ref="I167:I168"/>
    <mergeCell ref="J167:J168"/>
    <mergeCell ref="K167:K168"/>
    <mergeCell ref="L167:L168"/>
    <mergeCell ref="H172:H174"/>
    <mergeCell ref="I172:I174"/>
    <mergeCell ref="J172:J174"/>
    <mergeCell ref="A167:B168"/>
    <mergeCell ref="U167:V167"/>
    <mergeCell ref="W170:Z171"/>
    <mergeCell ref="E167:E168"/>
    <mergeCell ref="H167:H168"/>
    <mergeCell ref="M167:M168"/>
    <mergeCell ref="O183:T183"/>
    <mergeCell ref="B184:G184"/>
    <mergeCell ref="B179:G179"/>
    <mergeCell ref="O179:T179"/>
    <mergeCell ref="B180:G180"/>
    <mergeCell ref="O180:T180"/>
    <mergeCell ref="K177:M177"/>
    <mergeCell ref="C167:D168"/>
    <mergeCell ref="O140:T140"/>
    <mergeCell ref="B154:G154"/>
    <mergeCell ref="O154:T154"/>
    <mergeCell ref="B155:G155"/>
    <mergeCell ref="B194:G194"/>
    <mergeCell ref="O194:T194"/>
    <mergeCell ref="B191:G191"/>
    <mergeCell ref="O191:T191"/>
    <mergeCell ref="B192:G192"/>
    <mergeCell ref="O192:T192"/>
    <mergeCell ref="B188:G188"/>
    <mergeCell ref="O188:T188"/>
    <mergeCell ref="B185:G185"/>
    <mergeCell ref="O185:T185"/>
    <mergeCell ref="B186:G186"/>
    <mergeCell ref="B189:G189"/>
    <mergeCell ref="O189:T189"/>
    <mergeCell ref="K187:M187"/>
    <mergeCell ref="B190:G190"/>
    <mergeCell ref="O190:T190"/>
    <mergeCell ref="O186:T186"/>
    <mergeCell ref="B187:G187"/>
    <mergeCell ref="O187:T187"/>
    <mergeCell ref="X195:Z195"/>
    <mergeCell ref="X196:Z196"/>
    <mergeCell ref="X197:Z197"/>
    <mergeCell ref="B195:G195"/>
    <mergeCell ref="B196:G196"/>
    <mergeCell ref="O196:T196"/>
    <mergeCell ref="B202:G202"/>
    <mergeCell ref="B201:G201"/>
    <mergeCell ref="O201:T201"/>
    <mergeCell ref="O195:T195"/>
    <mergeCell ref="X201:Z201"/>
    <mergeCell ref="X198:Z198"/>
    <mergeCell ref="K199:M199"/>
    <mergeCell ref="K195:M195"/>
    <mergeCell ref="K196:M196"/>
    <mergeCell ref="W207:X207"/>
    <mergeCell ref="Y207:Z207"/>
    <mergeCell ref="X199:Z199"/>
    <mergeCell ref="W215:W217"/>
    <mergeCell ref="K201:M201"/>
    <mergeCell ref="J210:J211"/>
    <mergeCell ref="K210:K211"/>
    <mergeCell ref="T210:T211"/>
    <mergeCell ref="L210:L211"/>
    <mergeCell ref="O203:T203"/>
    <mergeCell ref="J215:J217"/>
    <mergeCell ref="U213:V214"/>
    <mergeCell ref="K215:M217"/>
    <mergeCell ref="M210:M211"/>
    <mergeCell ref="P210:P211"/>
    <mergeCell ref="X202:Z202"/>
    <mergeCell ref="J213:M214"/>
    <mergeCell ref="V215:V217"/>
    <mergeCell ref="C209:T209"/>
    <mergeCell ref="C210:D211"/>
    <mergeCell ref="X200:Z200"/>
    <mergeCell ref="S210:S211"/>
    <mergeCell ref="O204:T204"/>
    <mergeCell ref="B221:G221"/>
    <mergeCell ref="O221:T221"/>
    <mergeCell ref="B222:G222"/>
    <mergeCell ref="C4:T4"/>
    <mergeCell ref="A5:B6"/>
    <mergeCell ref="C5:D6"/>
    <mergeCell ref="C81:D82"/>
    <mergeCell ref="J81:J82"/>
    <mergeCell ref="N81:N82"/>
    <mergeCell ref="B64:G64"/>
    <mergeCell ref="O64:T64"/>
    <mergeCell ref="B60:G60"/>
    <mergeCell ref="O60:T60"/>
    <mergeCell ref="B61:G61"/>
    <mergeCell ref="O61:T61"/>
    <mergeCell ref="B58:G58"/>
    <mergeCell ref="O58:T58"/>
    <mergeCell ref="C80:T80"/>
    <mergeCell ref="B59:G59"/>
    <mergeCell ref="O59:T59"/>
    <mergeCell ref="B56:G56"/>
    <mergeCell ref="K194:M194"/>
    <mergeCell ref="B193:G193"/>
    <mergeCell ref="O193:T193"/>
    <mergeCell ref="O56:T56"/>
    <mergeCell ref="O46:T46"/>
    <mergeCell ref="O55:T55"/>
    <mergeCell ref="O75:T75"/>
    <mergeCell ref="Q81:Q82"/>
    <mergeCell ref="R81:R82"/>
    <mergeCell ref="B240:G240"/>
    <mergeCell ref="O240:T240"/>
    <mergeCell ref="K236:M236"/>
    <mergeCell ref="K235:M235"/>
    <mergeCell ref="K239:M239"/>
    <mergeCell ref="K238:M238"/>
    <mergeCell ref="K129:M131"/>
    <mergeCell ref="K197:M197"/>
    <mergeCell ref="K198:M198"/>
    <mergeCell ref="O149:T149"/>
    <mergeCell ref="K183:M183"/>
    <mergeCell ref="K184:M184"/>
    <mergeCell ref="B237:G237"/>
    <mergeCell ref="O237:T237"/>
    <mergeCell ref="B235:G235"/>
    <mergeCell ref="O235:T235"/>
    <mergeCell ref="B236:G236"/>
    <mergeCell ref="K240:M240"/>
    <mergeCell ref="B239:G239"/>
    <mergeCell ref="K228:M228"/>
    <mergeCell ref="O222:T222"/>
    <mergeCell ref="O239:T239"/>
    <mergeCell ref="U168:V168"/>
    <mergeCell ref="X234:Z234"/>
    <mergeCell ref="X235:Z235"/>
    <mergeCell ref="X236:Z236"/>
    <mergeCell ref="X237:Z237"/>
    <mergeCell ref="X228:Z228"/>
    <mergeCell ref="X229:Z229"/>
    <mergeCell ref="X194:Z194"/>
    <mergeCell ref="O184:T184"/>
    <mergeCell ref="W211:X211"/>
    <mergeCell ref="X220:Z220"/>
    <mergeCell ref="X221:Z221"/>
    <mergeCell ref="U210:V210"/>
    <mergeCell ref="O226:T226"/>
    <mergeCell ref="O223:T223"/>
    <mergeCell ref="Q210:Q211"/>
    <mergeCell ref="O236:T236"/>
    <mergeCell ref="O218:T218"/>
    <mergeCell ref="O213:T217"/>
    <mergeCell ref="U211:V211"/>
    <mergeCell ref="O219:T219"/>
    <mergeCell ref="K202:M202"/>
    <mergeCell ref="A210:B211"/>
    <mergeCell ref="A213:A217"/>
    <mergeCell ref="A212:Z212"/>
    <mergeCell ref="W168:X168"/>
    <mergeCell ref="U129:U131"/>
    <mergeCell ref="V129:V131"/>
    <mergeCell ref="K233:M233"/>
    <mergeCell ref="A206:Z206"/>
    <mergeCell ref="A209:B209"/>
    <mergeCell ref="K220:M220"/>
    <mergeCell ref="F210:F211"/>
    <mergeCell ref="G210:G211"/>
    <mergeCell ref="H210:H211"/>
    <mergeCell ref="E210:E211"/>
    <mergeCell ref="I210:I211"/>
    <mergeCell ref="I215:I217"/>
    <mergeCell ref="B219:G219"/>
    <mergeCell ref="B220:G220"/>
    <mergeCell ref="O220:T220"/>
    <mergeCell ref="U215:U217"/>
    <mergeCell ref="B218:G218"/>
    <mergeCell ref="K218:M218"/>
    <mergeCell ref="K234:M234"/>
    <mergeCell ref="B229:G229"/>
    <mergeCell ref="O229:T229"/>
    <mergeCell ref="B230:G230"/>
    <mergeCell ref="X222:Z222"/>
    <mergeCell ref="X223:Z223"/>
    <mergeCell ref="X224:Z224"/>
    <mergeCell ref="X225:Z225"/>
    <mergeCell ref="X226:Z226"/>
    <mergeCell ref="B226:G226"/>
    <mergeCell ref="B223:G223"/>
    <mergeCell ref="B224:G224"/>
    <mergeCell ref="K224:M224"/>
    <mergeCell ref="K225:M225"/>
    <mergeCell ref="K222:M222"/>
    <mergeCell ref="K223:M223"/>
    <mergeCell ref="K232:M232"/>
    <mergeCell ref="O231:T231"/>
    <mergeCell ref="B232:G232"/>
    <mergeCell ref="O232:T232"/>
    <mergeCell ref="K231:M231"/>
    <mergeCell ref="K230:M230"/>
    <mergeCell ref="O224:T224"/>
    <mergeCell ref="K226:M226"/>
    <mergeCell ref="K219:M219"/>
    <mergeCell ref="K221:M221"/>
    <mergeCell ref="B213:G217"/>
    <mergeCell ref="H213:I214"/>
    <mergeCell ref="BF63:BN63"/>
    <mergeCell ref="O65:T65"/>
    <mergeCell ref="W86:W88"/>
    <mergeCell ref="U81:V81"/>
    <mergeCell ref="X177:Z177"/>
    <mergeCell ref="W78:X78"/>
    <mergeCell ref="Y78:Z78"/>
    <mergeCell ref="O81:O82"/>
    <mergeCell ref="O71:T71"/>
    <mergeCell ref="O72:T72"/>
    <mergeCell ref="O118:T118"/>
    <mergeCell ref="W125:X125"/>
    <mergeCell ref="O89:T89"/>
    <mergeCell ref="O111:T111"/>
    <mergeCell ref="A77:Z77"/>
    <mergeCell ref="A80:B80"/>
    <mergeCell ref="U82:V82"/>
    <mergeCell ref="X129:Z131"/>
    <mergeCell ref="O151:T151"/>
    <mergeCell ref="A127:A131"/>
    <mergeCell ref="W127:Z128"/>
    <mergeCell ref="O160:T160"/>
    <mergeCell ref="U127:V128"/>
    <mergeCell ref="O152:T152"/>
    <mergeCell ref="V172:V174"/>
    <mergeCell ref="K188:M188"/>
    <mergeCell ref="X187:Z187"/>
    <mergeCell ref="X188:Z188"/>
    <mergeCell ref="O157:T157"/>
    <mergeCell ref="O150:T150"/>
    <mergeCell ref="O181:T181"/>
    <mergeCell ref="O182:T182"/>
    <mergeCell ref="O175:T175"/>
    <mergeCell ref="N170:N174"/>
    <mergeCell ref="K178:M178"/>
    <mergeCell ref="K179:M179"/>
    <mergeCell ref="K176:M176"/>
    <mergeCell ref="S167:S168"/>
    <mergeCell ref="N167:N168"/>
    <mergeCell ref="O167:O168"/>
    <mergeCell ref="O161:T161"/>
    <mergeCell ref="O177:T177"/>
    <mergeCell ref="P167:P168"/>
    <mergeCell ref="O178:T178"/>
    <mergeCell ref="W129:W131"/>
    <mergeCell ref="W164:X164"/>
    <mergeCell ref="Y164:Z164"/>
    <mergeCell ref="X175:Z175"/>
    <mergeCell ref="X176:Z176"/>
    <mergeCell ref="X184:Z184"/>
    <mergeCell ref="X172:Z174"/>
    <mergeCell ref="X179:Z179"/>
    <mergeCell ref="B149:G149"/>
    <mergeCell ref="B153:G153"/>
    <mergeCell ref="O153:T153"/>
    <mergeCell ref="B182:G182"/>
    <mergeCell ref="B181:G181"/>
    <mergeCell ref="B152:G152"/>
    <mergeCell ref="B157:G157"/>
    <mergeCell ref="B150:G150"/>
    <mergeCell ref="B160:G160"/>
    <mergeCell ref="B161:G161"/>
    <mergeCell ref="B177:G177"/>
    <mergeCell ref="B178:G178"/>
    <mergeCell ref="O170:T174"/>
    <mergeCell ref="B176:G176"/>
    <mergeCell ref="O176:T176"/>
    <mergeCell ref="B183:G183"/>
    <mergeCell ref="X190:Z190"/>
    <mergeCell ref="K192:M192"/>
    <mergeCell ref="K193:M193"/>
    <mergeCell ref="K189:M189"/>
    <mergeCell ref="K190:M190"/>
    <mergeCell ref="K191:M191"/>
    <mergeCell ref="X191:Z191"/>
    <mergeCell ref="X192:Z192"/>
    <mergeCell ref="X193:Z193"/>
    <mergeCell ref="X189:Z189"/>
    <mergeCell ref="X244:Z244"/>
    <mergeCell ref="X230:Z230"/>
    <mergeCell ref="X231:Z231"/>
    <mergeCell ref="X232:Z232"/>
    <mergeCell ref="X233:Z233"/>
    <mergeCell ref="K180:M180"/>
    <mergeCell ref="K181:M181"/>
    <mergeCell ref="K182:M182"/>
    <mergeCell ref="J84:M85"/>
    <mergeCell ref="K86:M88"/>
    <mergeCell ref="J170:M171"/>
    <mergeCell ref="K172:M174"/>
    <mergeCell ref="K175:M175"/>
    <mergeCell ref="K185:M185"/>
    <mergeCell ref="K186:M186"/>
    <mergeCell ref="X185:Z185"/>
    <mergeCell ref="X186:Z186"/>
    <mergeCell ref="A163:Z163"/>
    <mergeCell ref="A166:B166"/>
    <mergeCell ref="C166:T166"/>
    <mergeCell ref="W84:Z85"/>
    <mergeCell ref="X86:Z88"/>
    <mergeCell ref="X241:Z241"/>
    <mergeCell ref="X242:Z242"/>
    <mergeCell ref="CH1:CK1"/>
    <mergeCell ref="CN10:CP10"/>
    <mergeCell ref="CM1:CP1"/>
    <mergeCell ref="AJ8:AM9"/>
    <mergeCell ref="AK10:AM12"/>
    <mergeCell ref="AW8:AZ9"/>
    <mergeCell ref="AX10:AZ12"/>
    <mergeCell ref="X243:Z243"/>
    <mergeCell ref="X203:Z203"/>
    <mergeCell ref="X204:Z204"/>
    <mergeCell ref="X178:Z178"/>
    <mergeCell ref="W213:Z214"/>
    <mergeCell ref="X215:Z217"/>
    <mergeCell ref="X218:Z218"/>
    <mergeCell ref="X219:Z219"/>
    <mergeCell ref="X227:Z227"/>
    <mergeCell ref="X182:Z182"/>
    <mergeCell ref="X183:Z183"/>
    <mergeCell ref="X180:Z180"/>
    <mergeCell ref="X181:Z181"/>
    <mergeCell ref="BN6:BO6"/>
    <mergeCell ref="W8:Z9"/>
    <mergeCell ref="X10:Z12"/>
    <mergeCell ref="W82:X82"/>
  </mergeCells>
  <phoneticPr fontId="8"/>
  <conditionalFormatting sqref="B175:G194 O175:T194">
    <cfRule type="cellIs" dxfId="541" priority="980" stopIfTrue="1" operator="equal">
      <formula>""</formula>
    </cfRule>
  </conditionalFormatting>
  <conditionalFormatting sqref="B218:G237 O218:T237">
    <cfRule type="cellIs" dxfId="540" priority="977" stopIfTrue="1" operator="equal">
      <formula>""</formula>
    </cfRule>
  </conditionalFormatting>
  <conditionalFormatting sqref="O195:T204">
    <cfRule type="cellIs" dxfId="539" priority="978" stopIfTrue="1" operator="equal">
      <formula>""</formula>
    </cfRule>
  </conditionalFormatting>
  <conditionalFormatting sqref="F81:F82 H81:H82 K81:K82 N81:N82 P81:P82 S81:S82">
    <cfRule type="cellIs" dxfId="538" priority="987" stopIfTrue="1" operator="equal">
      <formula>""</formula>
    </cfRule>
  </conditionalFormatting>
  <conditionalFormatting sqref="O136:T151">
    <cfRule type="cellIs" dxfId="537" priority="983" stopIfTrue="1" operator="equal">
      <formula>""</formula>
    </cfRule>
  </conditionalFormatting>
  <conditionalFormatting sqref="O152:T161">
    <cfRule type="cellIs" dxfId="536" priority="981" stopIfTrue="1" operator="equal">
      <formula>""</formula>
    </cfRule>
  </conditionalFormatting>
  <conditionalFormatting sqref="B195:G204">
    <cfRule type="cellIs" dxfId="535" priority="979" stopIfTrue="1" operator="equal">
      <formula>""</formula>
    </cfRule>
  </conditionalFormatting>
  <conditionalFormatting sqref="B238:G247">
    <cfRule type="cellIs" dxfId="534" priority="976" stopIfTrue="1" operator="equal">
      <formula>""</formula>
    </cfRule>
  </conditionalFormatting>
  <conditionalFormatting sqref="O238:T247">
    <cfRule type="cellIs" dxfId="533" priority="975" stopIfTrue="1" operator="equal">
      <formula>""</formula>
    </cfRule>
  </conditionalFormatting>
  <conditionalFormatting sqref="J185:J204">
    <cfRule type="cellIs" dxfId="532" priority="911" stopIfTrue="1" operator="equal">
      <formula>""</formula>
    </cfRule>
  </conditionalFormatting>
  <conditionalFormatting sqref="J175:K175 J176:J184">
    <cfRule type="cellIs" dxfId="531" priority="913" stopIfTrue="1" operator="equal">
      <formula>""</formula>
    </cfRule>
  </conditionalFormatting>
  <conditionalFormatting sqref="K176:K184">
    <cfRule type="cellIs" dxfId="530" priority="912" stopIfTrue="1" operator="equal">
      <formula>""</formula>
    </cfRule>
  </conditionalFormatting>
  <conditionalFormatting sqref="K185:K204">
    <cfRule type="cellIs" dxfId="529" priority="910" stopIfTrue="1" operator="equal">
      <formula>""</formula>
    </cfRule>
  </conditionalFormatting>
  <conditionalFormatting sqref="W175:X175 W176:W184">
    <cfRule type="cellIs" dxfId="528" priority="879" stopIfTrue="1" operator="equal">
      <formula>""</formula>
    </cfRule>
  </conditionalFormatting>
  <conditionalFormatting sqref="X176:X184">
    <cfRule type="cellIs" dxfId="527" priority="878" stopIfTrue="1" operator="equal">
      <formula>""</formula>
    </cfRule>
  </conditionalFormatting>
  <conditionalFormatting sqref="W185:W204">
    <cfRule type="cellIs" dxfId="526" priority="877" stopIfTrue="1" operator="equal">
      <formula>""</formula>
    </cfRule>
  </conditionalFormatting>
  <conditionalFormatting sqref="X185:X204">
    <cfRule type="cellIs" dxfId="525" priority="876" stopIfTrue="1" operator="equal">
      <formula>""</formula>
    </cfRule>
  </conditionalFormatting>
  <conditionalFormatting sqref="J218:K218 J219:J227">
    <cfRule type="cellIs" dxfId="524" priority="875" stopIfTrue="1" operator="equal">
      <formula>""</formula>
    </cfRule>
  </conditionalFormatting>
  <conditionalFormatting sqref="K219:K227">
    <cfRule type="cellIs" dxfId="523" priority="874" stopIfTrue="1" operator="equal">
      <formula>""</formula>
    </cfRule>
  </conditionalFormatting>
  <conditionalFormatting sqref="J228:J247">
    <cfRule type="cellIs" dxfId="522" priority="873" stopIfTrue="1" operator="equal">
      <formula>""</formula>
    </cfRule>
  </conditionalFormatting>
  <conditionalFormatting sqref="K228:K247">
    <cfRule type="cellIs" dxfId="521" priority="872" stopIfTrue="1" operator="equal">
      <formula>""</formula>
    </cfRule>
  </conditionalFormatting>
  <conditionalFormatting sqref="W218:X218 W219:W227">
    <cfRule type="cellIs" dxfId="520" priority="871" stopIfTrue="1" operator="equal">
      <formula>""</formula>
    </cfRule>
  </conditionalFormatting>
  <conditionalFormatting sqref="X219:X227">
    <cfRule type="cellIs" dxfId="519" priority="870" stopIfTrue="1" operator="equal">
      <formula>""</formula>
    </cfRule>
  </conditionalFormatting>
  <conditionalFormatting sqref="W228:W247">
    <cfRule type="cellIs" dxfId="518" priority="869" stopIfTrue="1" operator="equal">
      <formula>""</formula>
    </cfRule>
  </conditionalFormatting>
  <conditionalFormatting sqref="X228:X247">
    <cfRule type="cellIs" dxfId="517" priority="868" stopIfTrue="1" operator="equal">
      <formula>""</formula>
    </cfRule>
  </conditionalFormatting>
  <conditionalFormatting sqref="B152:G161">
    <cfRule type="cellIs" dxfId="516" priority="818" stopIfTrue="1" operator="equal">
      <formula>""</formula>
    </cfRule>
  </conditionalFormatting>
  <conditionalFormatting sqref="B132:G151">
    <cfRule type="cellIs" dxfId="515" priority="819" stopIfTrue="1" operator="equal">
      <formula>""</formula>
    </cfRule>
  </conditionalFormatting>
  <conditionalFormatting sqref="O132:T135">
    <cfRule type="cellIs" dxfId="514" priority="814" stopIfTrue="1" operator="equal">
      <formula>""</formula>
    </cfRule>
  </conditionalFormatting>
  <conditionalFormatting sqref="O89:T118">
    <cfRule type="cellIs" dxfId="513" priority="822" stopIfTrue="1" operator="equal">
      <formula>""</formula>
    </cfRule>
  </conditionalFormatting>
  <conditionalFormatting sqref="H175:I204">
    <cfRule type="cellIs" dxfId="512" priority="777" stopIfTrue="1" operator="equal">
      <formula>""</formula>
    </cfRule>
  </conditionalFormatting>
  <conditionalFormatting sqref="U175:V204">
    <cfRule type="cellIs" dxfId="511" priority="776" stopIfTrue="1" operator="equal">
      <formula>""</formula>
    </cfRule>
  </conditionalFormatting>
  <conditionalFormatting sqref="H218:I247">
    <cfRule type="cellIs" dxfId="510" priority="775" stopIfTrue="1" operator="equal">
      <formula>""</formula>
    </cfRule>
  </conditionalFormatting>
  <conditionalFormatting sqref="U218:V247">
    <cfRule type="cellIs" dxfId="509" priority="774" stopIfTrue="1" operator="equal">
      <formula>""</formula>
    </cfRule>
  </conditionalFormatting>
  <conditionalFormatting sqref="W13">
    <cfRule type="cellIs" dxfId="508" priority="747" stopIfTrue="1" operator="equal">
      <formula>""</formula>
    </cfRule>
  </conditionalFormatting>
  <conditionalFormatting sqref="B89:G89">
    <cfRule type="cellIs" dxfId="507" priority="538" stopIfTrue="1" operator="equal">
      <formula>""</formula>
    </cfRule>
  </conditionalFormatting>
  <conditionalFormatting sqref="B90:G90">
    <cfRule type="cellIs" dxfId="506" priority="535" stopIfTrue="1" operator="equal">
      <formula>""</formula>
    </cfRule>
  </conditionalFormatting>
  <conditionalFormatting sqref="B91:G91">
    <cfRule type="cellIs" dxfId="505" priority="532" stopIfTrue="1" operator="equal">
      <formula>""</formula>
    </cfRule>
  </conditionalFormatting>
  <conditionalFormatting sqref="B92:G92">
    <cfRule type="cellIs" dxfId="504" priority="529" stopIfTrue="1" operator="equal">
      <formula>""</formula>
    </cfRule>
  </conditionalFormatting>
  <conditionalFormatting sqref="B93:G93">
    <cfRule type="cellIs" dxfId="503" priority="526" stopIfTrue="1" operator="equal">
      <formula>""</formula>
    </cfRule>
  </conditionalFormatting>
  <conditionalFormatting sqref="B94:G94">
    <cfRule type="cellIs" dxfId="502" priority="523" stopIfTrue="1" operator="equal">
      <formula>""</formula>
    </cfRule>
  </conditionalFormatting>
  <conditionalFormatting sqref="B95:G95">
    <cfRule type="cellIs" dxfId="501" priority="520" stopIfTrue="1" operator="equal">
      <formula>""</formula>
    </cfRule>
  </conditionalFormatting>
  <conditionalFormatting sqref="B96:G96">
    <cfRule type="cellIs" dxfId="500" priority="517" stopIfTrue="1" operator="equal">
      <formula>""</formula>
    </cfRule>
  </conditionalFormatting>
  <conditionalFormatting sqref="B97:G97">
    <cfRule type="cellIs" dxfId="499" priority="514" stopIfTrue="1" operator="equal">
      <formula>""</formula>
    </cfRule>
  </conditionalFormatting>
  <conditionalFormatting sqref="B98:G98">
    <cfRule type="cellIs" dxfId="498" priority="511" stopIfTrue="1" operator="equal">
      <formula>""</formula>
    </cfRule>
  </conditionalFormatting>
  <conditionalFormatting sqref="B118:G118">
    <cfRule type="cellIs" dxfId="497" priority="451" stopIfTrue="1" operator="equal">
      <formula>""</formula>
    </cfRule>
  </conditionalFormatting>
  <conditionalFormatting sqref="B109:G109">
    <cfRule type="cellIs" dxfId="496" priority="478" stopIfTrue="1" operator="equal">
      <formula>""</formula>
    </cfRule>
  </conditionalFormatting>
  <conditionalFormatting sqref="B110:G110">
    <cfRule type="cellIs" dxfId="495" priority="475" stopIfTrue="1" operator="equal">
      <formula>""</formula>
    </cfRule>
  </conditionalFormatting>
  <conditionalFormatting sqref="B111:G111">
    <cfRule type="cellIs" dxfId="494" priority="472" stopIfTrue="1" operator="equal">
      <formula>""</formula>
    </cfRule>
  </conditionalFormatting>
  <conditionalFormatting sqref="B112:G112">
    <cfRule type="cellIs" dxfId="493" priority="469" stopIfTrue="1" operator="equal">
      <formula>""</formula>
    </cfRule>
  </conditionalFormatting>
  <conditionalFormatting sqref="B113:G113">
    <cfRule type="cellIs" dxfId="492" priority="466" stopIfTrue="1" operator="equal">
      <formula>""</formula>
    </cfRule>
  </conditionalFormatting>
  <conditionalFormatting sqref="B114:G114">
    <cfRule type="cellIs" dxfId="491" priority="463" stopIfTrue="1" operator="equal">
      <formula>""</formula>
    </cfRule>
  </conditionalFormatting>
  <conditionalFormatting sqref="B115:G115">
    <cfRule type="cellIs" dxfId="490" priority="460" stopIfTrue="1" operator="equal">
      <formula>""</formula>
    </cfRule>
  </conditionalFormatting>
  <conditionalFormatting sqref="B116:G116">
    <cfRule type="cellIs" dxfId="489" priority="457" stopIfTrue="1" operator="equal">
      <formula>""</formula>
    </cfRule>
  </conditionalFormatting>
  <conditionalFormatting sqref="B117:G117">
    <cfRule type="cellIs" dxfId="488" priority="454" stopIfTrue="1" operator="equal">
      <formula>""</formula>
    </cfRule>
  </conditionalFormatting>
  <conditionalFormatting sqref="B14:G14">
    <cfRule type="cellIs" dxfId="487" priority="417" stopIfTrue="1" operator="equal">
      <formula>""</formula>
    </cfRule>
  </conditionalFormatting>
  <conditionalFormatting sqref="B13:G13">
    <cfRule type="cellIs" dxfId="486" priority="418" stopIfTrue="1" operator="equal">
      <formula>""</formula>
    </cfRule>
  </conditionalFormatting>
  <conditionalFormatting sqref="B16:G16">
    <cfRule type="cellIs" dxfId="485" priority="415" stopIfTrue="1" operator="equal">
      <formula>""</formula>
    </cfRule>
  </conditionalFormatting>
  <conditionalFormatting sqref="B19:G19">
    <cfRule type="cellIs" dxfId="484" priority="412" stopIfTrue="1" operator="equal">
      <formula>""</formula>
    </cfRule>
  </conditionalFormatting>
  <conditionalFormatting sqref="B22:G22">
    <cfRule type="cellIs" dxfId="483" priority="409" stopIfTrue="1" operator="equal">
      <formula>""</formula>
    </cfRule>
  </conditionalFormatting>
  <conditionalFormatting sqref="B46:G46">
    <cfRule type="cellIs" dxfId="482" priority="406" stopIfTrue="1" operator="equal">
      <formula>""</formula>
    </cfRule>
  </conditionalFormatting>
  <conditionalFormatting sqref="B49:G49">
    <cfRule type="cellIs" dxfId="481" priority="403" stopIfTrue="1" operator="equal">
      <formula>""</formula>
    </cfRule>
  </conditionalFormatting>
  <conditionalFormatting sqref="B52:G52">
    <cfRule type="cellIs" dxfId="480" priority="400" stopIfTrue="1" operator="equal">
      <formula>""</formula>
    </cfRule>
  </conditionalFormatting>
  <conditionalFormatting sqref="B55:G55">
    <cfRule type="cellIs" dxfId="479" priority="397" stopIfTrue="1" operator="equal">
      <formula>""</formula>
    </cfRule>
  </conditionalFormatting>
  <conditionalFormatting sqref="B58:G58">
    <cfRule type="cellIs" dxfId="478" priority="394" stopIfTrue="1" operator="equal">
      <formula>""</formula>
    </cfRule>
  </conditionalFormatting>
  <conditionalFormatting sqref="B61:G61">
    <cfRule type="cellIs" dxfId="477" priority="391" stopIfTrue="1" operator="equal">
      <formula>""</formula>
    </cfRule>
  </conditionalFormatting>
  <conditionalFormatting sqref="B99:G99">
    <cfRule type="cellIs" dxfId="476" priority="508" stopIfTrue="1" operator="equal">
      <formula>""</formula>
    </cfRule>
  </conditionalFormatting>
  <conditionalFormatting sqref="B100:G100">
    <cfRule type="cellIs" dxfId="475" priority="505" stopIfTrue="1" operator="equal">
      <formula>""</formula>
    </cfRule>
  </conditionalFormatting>
  <conditionalFormatting sqref="B101:G101">
    <cfRule type="cellIs" dxfId="474" priority="502" stopIfTrue="1" operator="equal">
      <formula>""</formula>
    </cfRule>
  </conditionalFormatting>
  <conditionalFormatting sqref="B102:G102">
    <cfRule type="cellIs" dxfId="473" priority="499" stopIfTrue="1" operator="equal">
      <formula>""</formula>
    </cfRule>
  </conditionalFormatting>
  <conditionalFormatting sqref="B103:G103">
    <cfRule type="cellIs" dxfId="472" priority="496" stopIfTrue="1" operator="equal">
      <formula>""</formula>
    </cfRule>
  </conditionalFormatting>
  <conditionalFormatting sqref="B104:G104">
    <cfRule type="cellIs" dxfId="471" priority="493" stopIfTrue="1" operator="equal">
      <formula>""</formula>
    </cfRule>
  </conditionalFormatting>
  <conditionalFormatting sqref="B105:G105">
    <cfRule type="cellIs" dxfId="470" priority="490" stopIfTrue="1" operator="equal">
      <formula>""</formula>
    </cfRule>
  </conditionalFormatting>
  <conditionalFormatting sqref="B106:G106">
    <cfRule type="cellIs" dxfId="469" priority="487" stopIfTrue="1" operator="equal">
      <formula>""</formula>
    </cfRule>
  </conditionalFormatting>
  <conditionalFormatting sqref="B107:G107">
    <cfRule type="cellIs" dxfId="468" priority="484" stopIfTrue="1" operator="equal">
      <formula>""</formula>
    </cfRule>
  </conditionalFormatting>
  <conditionalFormatting sqref="B108:G108">
    <cfRule type="cellIs" dxfId="467" priority="481" stopIfTrue="1" operator="equal">
      <formula>""</formula>
    </cfRule>
  </conditionalFormatting>
  <conditionalFormatting sqref="C5:D6">
    <cfRule type="containsBlanks" dxfId="466" priority="441">
      <formula>LEN(TRIM(C5))=0</formula>
    </cfRule>
  </conditionalFormatting>
  <conditionalFormatting sqref="J13:J22">
    <cfRule type="cellIs" dxfId="465" priority="440" stopIfTrue="1" operator="equal">
      <formula>""</formula>
    </cfRule>
  </conditionalFormatting>
  <conditionalFormatting sqref="B15:G15">
    <cfRule type="cellIs" dxfId="464" priority="416" stopIfTrue="1" operator="equal">
      <formula>""</formula>
    </cfRule>
  </conditionalFormatting>
  <conditionalFormatting sqref="B17:G17">
    <cfRule type="cellIs" dxfId="463" priority="414" stopIfTrue="1" operator="equal">
      <formula>""</formula>
    </cfRule>
  </conditionalFormatting>
  <conditionalFormatting sqref="B18:G18">
    <cfRule type="cellIs" dxfId="462" priority="413" stopIfTrue="1" operator="equal">
      <formula>""</formula>
    </cfRule>
  </conditionalFormatting>
  <conditionalFormatting sqref="B20:G20">
    <cfRule type="cellIs" dxfId="461" priority="411" stopIfTrue="1" operator="equal">
      <formula>""</formula>
    </cfRule>
  </conditionalFormatting>
  <conditionalFormatting sqref="B21:G21">
    <cfRule type="cellIs" dxfId="460" priority="410" stopIfTrue="1" operator="equal">
      <formula>""</formula>
    </cfRule>
  </conditionalFormatting>
  <conditionalFormatting sqref="O13:T22">
    <cfRule type="cellIs" dxfId="459" priority="408" stopIfTrue="1" operator="equal">
      <formula>""</formula>
    </cfRule>
  </conditionalFormatting>
  <conditionalFormatting sqref="B47:G47">
    <cfRule type="cellIs" dxfId="458" priority="405" stopIfTrue="1" operator="equal">
      <formula>""</formula>
    </cfRule>
  </conditionalFormatting>
  <conditionalFormatting sqref="B48:G48">
    <cfRule type="cellIs" dxfId="457" priority="404" stopIfTrue="1" operator="equal">
      <formula>""</formula>
    </cfRule>
  </conditionalFormatting>
  <conditionalFormatting sqref="B50:G50">
    <cfRule type="cellIs" dxfId="456" priority="402" stopIfTrue="1" operator="equal">
      <formula>""</formula>
    </cfRule>
  </conditionalFormatting>
  <conditionalFormatting sqref="B51:G51">
    <cfRule type="cellIs" dxfId="455" priority="401" stopIfTrue="1" operator="equal">
      <formula>""</formula>
    </cfRule>
  </conditionalFormatting>
  <conditionalFormatting sqref="B53:G53">
    <cfRule type="cellIs" dxfId="454" priority="399" stopIfTrue="1" operator="equal">
      <formula>""</formula>
    </cfRule>
  </conditionalFormatting>
  <conditionalFormatting sqref="B54:G54">
    <cfRule type="cellIs" dxfId="453" priority="398" stopIfTrue="1" operator="equal">
      <formula>""</formula>
    </cfRule>
  </conditionalFormatting>
  <conditionalFormatting sqref="B56:G56">
    <cfRule type="cellIs" dxfId="452" priority="396" stopIfTrue="1" operator="equal">
      <formula>""</formula>
    </cfRule>
  </conditionalFormatting>
  <conditionalFormatting sqref="B57:G57">
    <cfRule type="cellIs" dxfId="451" priority="395" stopIfTrue="1" operator="equal">
      <formula>""</formula>
    </cfRule>
  </conditionalFormatting>
  <conditionalFormatting sqref="B59:G59">
    <cfRule type="cellIs" dxfId="450" priority="393" stopIfTrue="1" operator="equal">
      <formula>""</formula>
    </cfRule>
  </conditionalFormatting>
  <conditionalFormatting sqref="B60:G60">
    <cfRule type="cellIs" dxfId="449" priority="392" stopIfTrue="1" operator="equal">
      <formula>""</formula>
    </cfRule>
  </conditionalFormatting>
  <conditionalFormatting sqref="B62:G62">
    <cfRule type="cellIs" dxfId="448" priority="390" stopIfTrue="1" operator="equal">
      <formula>""</formula>
    </cfRule>
  </conditionalFormatting>
  <conditionalFormatting sqref="B63:G63">
    <cfRule type="cellIs" dxfId="447" priority="389" stopIfTrue="1" operator="equal">
      <formula>""</formula>
    </cfRule>
  </conditionalFormatting>
  <conditionalFormatting sqref="B64:G64">
    <cfRule type="cellIs" dxfId="446" priority="388" stopIfTrue="1" operator="equal">
      <formula>""</formula>
    </cfRule>
  </conditionalFormatting>
  <conditionalFormatting sqref="B65:G65">
    <cfRule type="cellIs" dxfId="445" priority="387" stopIfTrue="1" operator="equal">
      <formula>""</formula>
    </cfRule>
  </conditionalFormatting>
  <conditionalFormatting sqref="B66:G66">
    <cfRule type="cellIs" dxfId="444" priority="386" stopIfTrue="1" operator="equal">
      <formula>""</formula>
    </cfRule>
  </conditionalFormatting>
  <conditionalFormatting sqref="B67:G67">
    <cfRule type="cellIs" dxfId="443" priority="385" stopIfTrue="1" operator="equal">
      <formula>""</formula>
    </cfRule>
  </conditionalFormatting>
  <conditionalFormatting sqref="B68:G68">
    <cfRule type="cellIs" dxfId="442" priority="384" stopIfTrue="1" operator="equal">
      <formula>""</formula>
    </cfRule>
  </conditionalFormatting>
  <conditionalFormatting sqref="B69:G69">
    <cfRule type="cellIs" dxfId="441" priority="383" stopIfTrue="1" operator="equal">
      <formula>""</formula>
    </cfRule>
  </conditionalFormatting>
  <conditionalFormatting sqref="B70:G70">
    <cfRule type="cellIs" dxfId="440" priority="382" stopIfTrue="1" operator="equal">
      <formula>""</formula>
    </cfRule>
  </conditionalFormatting>
  <conditionalFormatting sqref="B71:G71">
    <cfRule type="cellIs" dxfId="439" priority="381" stopIfTrue="1" operator="equal">
      <formula>""</formula>
    </cfRule>
  </conditionalFormatting>
  <conditionalFormatting sqref="B72:G72">
    <cfRule type="cellIs" dxfId="438" priority="380" stopIfTrue="1" operator="equal">
      <formula>""</formula>
    </cfRule>
  </conditionalFormatting>
  <conditionalFormatting sqref="B73:G73">
    <cfRule type="cellIs" dxfId="437" priority="379" stopIfTrue="1" operator="equal">
      <formula>""</formula>
    </cfRule>
  </conditionalFormatting>
  <conditionalFormatting sqref="B74:G74">
    <cfRule type="cellIs" dxfId="436" priority="378" stopIfTrue="1" operator="equal">
      <formula>""</formula>
    </cfRule>
  </conditionalFormatting>
  <conditionalFormatting sqref="B75:G75">
    <cfRule type="cellIs" dxfId="435" priority="377" stopIfTrue="1" operator="equal">
      <formula>""</formula>
    </cfRule>
  </conditionalFormatting>
  <conditionalFormatting sqref="O46:T65">
    <cfRule type="cellIs" dxfId="434" priority="376" stopIfTrue="1" operator="equal">
      <formula>""</formula>
    </cfRule>
  </conditionalFormatting>
  <conditionalFormatting sqref="O66:T75">
    <cfRule type="cellIs" dxfId="433" priority="375" stopIfTrue="1" operator="equal">
      <formula>""</formula>
    </cfRule>
  </conditionalFormatting>
  <conditionalFormatting sqref="AM14:AM22">
    <cfRule type="cellIs" dxfId="432" priority="202" stopIfTrue="1" operator="equal">
      <formula>""</formula>
    </cfRule>
  </conditionalFormatting>
  <conditionalFormatting sqref="K57:K65">
    <cfRule type="cellIs" dxfId="431" priority="168" stopIfTrue="1" operator="equal">
      <formula>""</formula>
    </cfRule>
  </conditionalFormatting>
  <conditionalFormatting sqref="W14:W22">
    <cfRule type="cellIs" dxfId="430" priority="353" stopIfTrue="1" operator="equal">
      <formula>""</formula>
    </cfRule>
  </conditionalFormatting>
  <conditionalFormatting sqref="X13:Z22">
    <cfRule type="cellIs" dxfId="429" priority="191" stopIfTrue="1" operator="equal">
      <formula>""</formula>
    </cfRule>
  </conditionalFormatting>
  <conditionalFormatting sqref="AV15">
    <cfRule type="cellIs" dxfId="428" priority="340" stopIfTrue="1" operator="equal">
      <formula>""</formula>
    </cfRule>
  </conditionalFormatting>
  <conditionalFormatting sqref="AV22">
    <cfRule type="cellIs" dxfId="427" priority="347" stopIfTrue="1" operator="equal">
      <formula>""</formula>
    </cfRule>
  </conditionalFormatting>
  <conditionalFormatting sqref="AV13">
    <cfRule type="cellIs" dxfId="426" priority="345" stopIfTrue="1" operator="equal">
      <formula>""</formula>
    </cfRule>
  </conditionalFormatting>
  <conditionalFormatting sqref="AW13">
    <cfRule type="cellIs" dxfId="425" priority="344" stopIfTrue="1" operator="equal">
      <formula>""</formula>
    </cfRule>
  </conditionalFormatting>
  <conditionalFormatting sqref="AV14">
    <cfRule type="cellIs" dxfId="424" priority="342" stopIfTrue="1" operator="equal">
      <formula>""</formula>
    </cfRule>
  </conditionalFormatting>
  <conditionalFormatting sqref="AV16">
    <cfRule type="cellIs" dxfId="423" priority="338" stopIfTrue="1" operator="equal">
      <formula>""</formula>
    </cfRule>
  </conditionalFormatting>
  <conditionalFormatting sqref="AV17">
    <cfRule type="cellIs" dxfId="422" priority="336" stopIfTrue="1" operator="equal">
      <formula>""</formula>
    </cfRule>
  </conditionalFormatting>
  <conditionalFormatting sqref="AV18">
    <cfRule type="cellIs" dxfId="421" priority="334" stopIfTrue="1" operator="equal">
      <formula>""</formula>
    </cfRule>
  </conditionalFormatting>
  <conditionalFormatting sqref="AV19">
    <cfRule type="cellIs" dxfId="420" priority="332" stopIfTrue="1" operator="equal">
      <formula>""</formula>
    </cfRule>
  </conditionalFormatting>
  <conditionalFormatting sqref="AV20">
    <cfRule type="cellIs" dxfId="419" priority="330" stopIfTrue="1" operator="equal">
      <formula>""</formula>
    </cfRule>
  </conditionalFormatting>
  <conditionalFormatting sqref="AV21">
    <cfRule type="cellIs" dxfId="418" priority="328" stopIfTrue="1" operator="equal">
      <formula>""</formula>
    </cfRule>
  </conditionalFormatting>
  <conditionalFormatting sqref="AC5:AD6">
    <cfRule type="containsBlanks" dxfId="417" priority="327">
      <formula>LEN(TRIM(AC5))=0</formula>
    </cfRule>
  </conditionalFormatting>
  <conditionalFormatting sqref="AI13:AI15">
    <cfRule type="cellIs" dxfId="416" priority="324" stopIfTrue="1" operator="equal">
      <formula>""</formula>
    </cfRule>
  </conditionalFormatting>
  <conditionalFormatting sqref="AI16:AI18">
    <cfRule type="cellIs" dxfId="415" priority="323" stopIfTrue="1" operator="equal">
      <formula>""</formula>
    </cfRule>
  </conditionalFormatting>
  <conditionalFormatting sqref="AI19">
    <cfRule type="cellIs" dxfId="414" priority="322" stopIfTrue="1" operator="equal">
      <formula>""</formula>
    </cfRule>
  </conditionalFormatting>
  <conditionalFormatting sqref="AI20:AI22">
    <cfRule type="cellIs" dxfId="413" priority="321" stopIfTrue="1" operator="equal">
      <formula>""</formula>
    </cfRule>
  </conditionalFormatting>
  <conditionalFormatting sqref="AJ13:AJ22">
    <cfRule type="cellIs" dxfId="412" priority="326" stopIfTrue="1" operator="equal">
      <formula>""</formula>
    </cfRule>
  </conditionalFormatting>
  <conditionalFormatting sqref="AB15:AG15">
    <cfRule type="cellIs" dxfId="411" priority="318" stopIfTrue="1" operator="equal">
      <formula>""</formula>
    </cfRule>
  </conditionalFormatting>
  <conditionalFormatting sqref="AB16:AG16">
    <cfRule type="cellIs" dxfId="410" priority="317" stopIfTrue="1" operator="equal">
      <formula>""</formula>
    </cfRule>
  </conditionalFormatting>
  <conditionalFormatting sqref="AB17:AG17">
    <cfRule type="cellIs" dxfId="409" priority="316" stopIfTrue="1" operator="equal">
      <formula>""</formula>
    </cfRule>
  </conditionalFormatting>
  <conditionalFormatting sqref="AB18:AG18">
    <cfRule type="cellIs" dxfId="408" priority="315" stopIfTrue="1" operator="equal">
      <formula>""</formula>
    </cfRule>
  </conditionalFormatting>
  <conditionalFormatting sqref="AB13:AH13">
    <cfRule type="cellIs" dxfId="407" priority="320" stopIfTrue="1" operator="equal">
      <formula>""</formula>
    </cfRule>
  </conditionalFormatting>
  <conditionalFormatting sqref="AB14:AG14">
    <cfRule type="cellIs" dxfId="406" priority="319" stopIfTrue="1" operator="equal">
      <formula>""</formula>
    </cfRule>
  </conditionalFormatting>
  <conditionalFormatting sqref="AB19:AG19">
    <cfRule type="cellIs" dxfId="405" priority="314" stopIfTrue="1" operator="equal">
      <formula>""</formula>
    </cfRule>
  </conditionalFormatting>
  <conditionalFormatting sqref="AB20:AG20">
    <cfRule type="cellIs" dxfId="404" priority="313" stopIfTrue="1" operator="equal">
      <formula>""</formula>
    </cfRule>
  </conditionalFormatting>
  <conditionalFormatting sqref="AB21:AG21">
    <cfRule type="cellIs" dxfId="403" priority="312" stopIfTrue="1" operator="equal">
      <formula>""</formula>
    </cfRule>
  </conditionalFormatting>
  <conditionalFormatting sqref="AB22:AG22">
    <cfRule type="cellIs" dxfId="402" priority="311" stopIfTrue="1" operator="equal">
      <formula>""</formula>
    </cfRule>
  </conditionalFormatting>
  <conditionalFormatting sqref="AO13:AT22">
    <cfRule type="cellIs" dxfId="401" priority="310" stopIfTrue="1" operator="equal">
      <formula>""</formula>
    </cfRule>
  </conditionalFormatting>
  <conditionalFormatting sqref="AU13:AU22">
    <cfRule type="cellIs" dxfId="400" priority="309" stopIfTrue="1" operator="equal">
      <formula>""</formula>
    </cfRule>
  </conditionalFormatting>
  <conditionalFormatting sqref="AH14:AH22">
    <cfRule type="cellIs" dxfId="399" priority="308" stopIfTrue="1" operator="equal">
      <formula>""</formula>
    </cfRule>
  </conditionalFormatting>
  <conditionalFormatting sqref="AW14:AW22">
    <cfRule type="cellIs" dxfId="398" priority="307" stopIfTrue="1" operator="equal">
      <formula>""</formula>
    </cfRule>
  </conditionalFormatting>
  <conditionalFormatting sqref="K99:M108">
    <cfRule type="cellIs" dxfId="397" priority="109" stopIfTrue="1" operator="equal">
      <formula>""</formula>
    </cfRule>
  </conditionalFormatting>
  <conditionalFormatting sqref="K100:K108">
    <cfRule type="cellIs" dxfId="396" priority="108" stopIfTrue="1" operator="equal">
      <formula>""</formula>
    </cfRule>
  </conditionalFormatting>
  <conditionalFormatting sqref="L99:L108">
    <cfRule type="cellIs" dxfId="395" priority="107" stopIfTrue="1" operator="equal">
      <formula>""</formula>
    </cfRule>
  </conditionalFormatting>
  <conditionalFormatting sqref="M99">
    <cfRule type="cellIs" dxfId="394" priority="106" stopIfTrue="1" operator="equal">
      <formula>""</formula>
    </cfRule>
  </conditionalFormatting>
  <conditionalFormatting sqref="J99:J108">
    <cfRule type="cellIs" dxfId="393" priority="110" stopIfTrue="1" operator="equal">
      <formula>""</formula>
    </cfRule>
  </conditionalFormatting>
  <conditionalFormatting sqref="M89">
    <cfRule type="cellIs" dxfId="392" priority="116" stopIfTrue="1" operator="equal">
      <formula>""</formula>
    </cfRule>
  </conditionalFormatting>
  <conditionalFormatting sqref="M90:M98">
    <cfRule type="cellIs" dxfId="391" priority="115" stopIfTrue="1" operator="equal">
      <formula>""</formula>
    </cfRule>
  </conditionalFormatting>
  <conditionalFormatting sqref="I89">
    <cfRule type="cellIs" dxfId="390" priority="114" stopIfTrue="1" operator="equal">
      <formula>""</formula>
    </cfRule>
  </conditionalFormatting>
  <conditionalFormatting sqref="H89">
    <cfRule type="cellIs" dxfId="389" priority="113" stopIfTrue="1" operator="equal">
      <formula>""</formula>
    </cfRule>
  </conditionalFormatting>
  <conditionalFormatting sqref="I90:I98">
    <cfRule type="cellIs" dxfId="388" priority="112" stopIfTrue="1" operator="equal">
      <formula>""</formula>
    </cfRule>
  </conditionalFormatting>
  <conditionalFormatting sqref="U67:U75">
    <cfRule type="cellIs" dxfId="387" priority="121" stopIfTrue="1" operator="equal">
      <formula>""</formula>
    </cfRule>
  </conditionalFormatting>
  <conditionalFormatting sqref="J89:J98">
    <cfRule type="cellIs" dxfId="386" priority="120" stopIfTrue="1" operator="equal">
      <formula>""</formula>
    </cfRule>
  </conditionalFormatting>
  <conditionalFormatting sqref="K89:M98">
    <cfRule type="cellIs" dxfId="385" priority="119" stopIfTrue="1" operator="equal">
      <formula>""</formula>
    </cfRule>
  </conditionalFormatting>
  <conditionalFormatting sqref="K90:K98">
    <cfRule type="cellIs" dxfId="384" priority="118" stopIfTrue="1" operator="equal">
      <formula>""</formula>
    </cfRule>
  </conditionalFormatting>
  <conditionalFormatting sqref="L89:L98">
    <cfRule type="cellIs" dxfId="383" priority="117" stopIfTrue="1" operator="equal">
      <formula>""</formula>
    </cfRule>
  </conditionalFormatting>
  <conditionalFormatting sqref="Z66">
    <cfRule type="cellIs" dxfId="382" priority="126" stopIfTrue="1" operator="equal">
      <formula>""</formula>
    </cfRule>
  </conditionalFormatting>
  <conditionalFormatting sqref="Z67:Z75">
    <cfRule type="cellIs" dxfId="381" priority="125" stopIfTrue="1" operator="equal">
      <formula>""</formula>
    </cfRule>
  </conditionalFormatting>
  <conditionalFormatting sqref="V66">
    <cfRule type="cellIs" dxfId="380" priority="124" stopIfTrue="1" operator="equal">
      <formula>""</formula>
    </cfRule>
  </conditionalFormatting>
  <conditionalFormatting sqref="U66">
    <cfRule type="cellIs" dxfId="379" priority="123" stopIfTrue="1" operator="equal">
      <formula>""</formula>
    </cfRule>
  </conditionalFormatting>
  <conditionalFormatting sqref="V67:V75">
    <cfRule type="cellIs" dxfId="378" priority="122" stopIfTrue="1" operator="equal">
      <formula>""</formula>
    </cfRule>
  </conditionalFormatting>
  <conditionalFormatting sqref="U57:U65">
    <cfRule type="cellIs" dxfId="377" priority="131" stopIfTrue="1" operator="equal">
      <formula>""</formula>
    </cfRule>
  </conditionalFormatting>
  <conditionalFormatting sqref="W66:W75">
    <cfRule type="cellIs" dxfId="376" priority="130" stopIfTrue="1" operator="equal">
      <formula>""</formula>
    </cfRule>
  </conditionalFormatting>
  <conditionalFormatting sqref="X66:Z75">
    <cfRule type="cellIs" dxfId="375" priority="129" stopIfTrue="1" operator="equal">
      <formula>""</formula>
    </cfRule>
  </conditionalFormatting>
  <conditionalFormatting sqref="X67:X75">
    <cfRule type="cellIs" dxfId="374" priority="128" stopIfTrue="1" operator="equal">
      <formula>""</formula>
    </cfRule>
  </conditionalFormatting>
  <conditionalFormatting sqref="Y66:Y75">
    <cfRule type="cellIs" dxfId="373" priority="127" stopIfTrue="1" operator="equal">
      <formula>""</formula>
    </cfRule>
  </conditionalFormatting>
  <conditionalFormatting sqref="Z46">
    <cfRule type="cellIs" dxfId="372" priority="146" stopIfTrue="1" operator="equal">
      <formula>""</formula>
    </cfRule>
  </conditionalFormatting>
  <conditionalFormatting sqref="Z47:Z55">
    <cfRule type="cellIs" dxfId="371" priority="145" stopIfTrue="1" operator="equal">
      <formula>""</formula>
    </cfRule>
  </conditionalFormatting>
  <conditionalFormatting sqref="V46">
    <cfRule type="cellIs" dxfId="370" priority="144" stopIfTrue="1" operator="equal">
      <formula>""</formula>
    </cfRule>
  </conditionalFormatting>
  <conditionalFormatting sqref="U46">
    <cfRule type="cellIs" dxfId="369" priority="143" stopIfTrue="1" operator="equal">
      <formula>""</formula>
    </cfRule>
  </conditionalFormatting>
  <conditionalFormatting sqref="V47:V55">
    <cfRule type="cellIs" dxfId="368" priority="142" stopIfTrue="1" operator="equal">
      <formula>""</formula>
    </cfRule>
  </conditionalFormatting>
  <conditionalFormatting sqref="U47:U55">
    <cfRule type="cellIs" dxfId="367" priority="141" stopIfTrue="1" operator="equal">
      <formula>""</formula>
    </cfRule>
  </conditionalFormatting>
  <conditionalFormatting sqref="W56:W65">
    <cfRule type="cellIs" dxfId="366" priority="140" stopIfTrue="1" operator="equal">
      <formula>""</formula>
    </cfRule>
  </conditionalFormatting>
  <conditionalFormatting sqref="X56:Z65">
    <cfRule type="cellIs" dxfId="365" priority="139" stopIfTrue="1" operator="equal">
      <formula>""</formula>
    </cfRule>
  </conditionalFormatting>
  <conditionalFormatting sqref="X57:X65">
    <cfRule type="cellIs" dxfId="364" priority="138" stopIfTrue="1" operator="equal">
      <formula>""</formula>
    </cfRule>
  </conditionalFormatting>
  <conditionalFormatting sqref="Y56:Y65">
    <cfRule type="cellIs" dxfId="363" priority="137" stopIfTrue="1" operator="equal">
      <formula>""</formula>
    </cfRule>
  </conditionalFormatting>
  <conditionalFormatting sqref="Z56">
    <cfRule type="cellIs" dxfId="362" priority="136" stopIfTrue="1" operator="equal">
      <formula>""</formula>
    </cfRule>
  </conditionalFormatting>
  <conditionalFormatting sqref="Z57:Z65">
    <cfRule type="cellIs" dxfId="361" priority="135" stopIfTrue="1" operator="equal">
      <formula>""</formula>
    </cfRule>
  </conditionalFormatting>
  <conditionalFormatting sqref="V56">
    <cfRule type="cellIs" dxfId="360" priority="134" stopIfTrue="1" operator="equal">
      <formula>""</formula>
    </cfRule>
  </conditionalFormatting>
  <conditionalFormatting sqref="U56">
    <cfRule type="cellIs" dxfId="359" priority="133" stopIfTrue="1" operator="equal">
      <formula>""</formula>
    </cfRule>
  </conditionalFormatting>
  <conditionalFormatting sqref="V57:V65">
    <cfRule type="cellIs" dxfId="358" priority="132" stopIfTrue="1" operator="equal">
      <formula>""</formula>
    </cfRule>
  </conditionalFormatting>
  <conditionalFormatting sqref="H57:H65">
    <cfRule type="cellIs" dxfId="357" priority="161" stopIfTrue="1" operator="equal">
      <formula>""</formula>
    </cfRule>
  </conditionalFormatting>
  <conditionalFormatting sqref="J66:J75">
    <cfRule type="cellIs" dxfId="356" priority="160" stopIfTrue="1" operator="equal">
      <formula>""</formula>
    </cfRule>
  </conditionalFormatting>
  <conditionalFormatting sqref="K66:M75">
    <cfRule type="cellIs" dxfId="355" priority="159" stopIfTrue="1" operator="equal">
      <formula>""</formula>
    </cfRule>
  </conditionalFormatting>
  <conditionalFormatting sqref="K67:K75">
    <cfRule type="cellIs" dxfId="354" priority="158" stopIfTrue="1" operator="equal">
      <formula>""</formula>
    </cfRule>
  </conditionalFormatting>
  <conditionalFormatting sqref="L66:L75">
    <cfRule type="cellIs" dxfId="353" priority="157" stopIfTrue="1" operator="equal">
      <formula>""</formula>
    </cfRule>
  </conditionalFormatting>
  <conditionalFormatting sqref="M66">
    <cfRule type="cellIs" dxfId="352" priority="156" stopIfTrue="1" operator="equal">
      <formula>""</formula>
    </cfRule>
  </conditionalFormatting>
  <conditionalFormatting sqref="M67:M75">
    <cfRule type="cellIs" dxfId="351" priority="155" stopIfTrue="1" operator="equal">
      <formula>""</formula>
    </cfRule>
  </conditionalFormatting>
  <conditionalFormatting sqref="I66">
    <cfRule type="cellIs" dxfId="350" priority="154" stopIfTrue="1" operator="equal">
      <formula>""</formula>
    </cfRule>
  </conditionalFormatting>
  <conditionalFormatting sqref="H66">
    <cfRule type="cellIs" dxfId="349" priority="153" stopIfTrue="1" operator="equal">
      <formula>""</formula>
    </cfRule>
  </conditionalFormatting>
  <conditionalFormatting sqref="I67:I75">
    <cfRule type="cellIs" dxfId="348" priority="152" stopIfTrue="1" operator="equal">
      <formula>""</formula>
    </cfRule>
  </conditionalFormatting>
  <conditionalFormatting sqref="H67:H75">
    <cfRule type="cellIs" dxfId="347" priority="151" stopIfTrue="1" operator="equal">
      <formula>""</formula>
    </cfRule>
  </conditionalFormatting>
  <conditionalFormatting sqref="W46:W55">
    <cfRule type="cellIs" dxfId="346" priority="150" stopIfTrue="1" operator="equal">
      <formula>""</formula>
    </cfRule>
  </conditionalFormatting>
  <conditionalFormatting sqref="X46:Z55">
    <cfRule type="cellIs" dxfId="345" priority="149" stopIfTrue="1" operator="equal">
      <formula>""</formula>
    </cfRule>
  </conditionalFormatting>
  <conditionalFormatting sqref="X47:X55">
    <cfRule type="cellIs" dxfId="344" priority="148" stopIfTrue="1" operator="equal">
      <formula>""</formula>
    </cfRule>
  </conditionalFormatting>
  <conditionalFormatting sqref="Y46:Y55">
    <cfRule type="cellIs" dxfId="343" priority="147" stopIfTrue="1" operator="equal">
      <formula>""</formula>
    </cfRule>
  </conditionalFormatting>
  <conditionalFormatting sqref="AK13">
    <cfRule type="cellIs" dxfId="342" priority="206" stopIfTrue="1" operator="equal">
      <formula>""</formula>
    </cfRule>
  </conditionalFormatting>
  <conditionalFormatting sqref="AK14:AK22">
    <cfRule type="cellIs" dxfId="341" priority="205" stopIfTrue="1" operator="equal">
      <formula>""</formula>
    </cfRule>
  </conditionalFormatting>
  <conditionalFormatting sqref="AL13:AL22">
    <cfRule type="cellIs" dxfId="340" priority="204" stopIfTrue="1" operator="equal">
      <formula>""</formula>
    </cfRule>
  </conditionalFormatting>
  <conditionalFormatting sqref="AM13">
    <cfRule type="cellIs" dxfId="339" priority="203" stopIfTrue="1" operator="equal">
      <formula>""</formula>
    </cfRule>
  </conditionalFormatting>
  <conditionalFormatting sqref="AX13">
    <cfRule type="cellIs" dxfId="338" priority="201" stopIfTrue="1" operator="equal">
      <formula>""</formula>
    </cfRule>
  </conditionalFormatting>
  <conditionalFormatting sqref="AX14:AX22">
    <cfRule type="cellIs" dxfId="337" priority="200" stopIfTrue="1" operator="equal">
      <formula>""</formula>
    </cfRule>
  </conditionalFormatting>
  <conditionalFormatting sqref="AY13:AY22">
    <cfRule type="cellIs" dxfId="336" priority="199" stopIfTrue="1" operator="equal">
      <formula>""</formula>
    </cfRule>
  </conditionalFormatting>
  <conditionalFormatting sqref="AZ13">
    <cfRule type="cellIs" dxfId="335" priority="198" stopIfTrue="1" operator="equal">
      <formula>""</formula>
    </cfRule>
  </conditionalFormatting>
  <conditionalFormatting sqref="AZ14:AZ22">
    <cfRule type="cellIs" dxfId="334" priority="197" stopIfTrue="1" operator="equal">
      <formula>""</formula>
    </cfRule>
  </conditionalFormatting>
  <conditionalFormatting sqref="K13:M22">
    <cfRule type="cellIs" dxfId="333" priority="196" stopIfTrue="1" operator="equal">
      <formula>""</formula>
    </cfRule>
  </conditionalFormatting>
  <conditionalFormatting sqref="K14:K22">
    <cfRule type="cellIs" dxfId="332" priority="195" stopIfTrue="1" operator="equal">
      <formula>""</formula>
    </cfRule>
  </conditionalFormatting>
  <conditionalFormatting sqref="L13:L22">
    <cfRule type="cellIs" dxfId="331" priority="194" stopIfTrue="1" operator="equal">
      <formula>""</formula>
    </cfRule>
  </conditionalFormatting>
  <conditionalFormatting sqref="M13">
    <cfRule type="cellIs" dxfId="330" priority="193" stopIfTrue="1" operator="equal">
      <formula>""</formula>
    </cfRule>
  </conditionalFormatting>
  <conditionalFormatting sqref="M14:M22">
    <cfRule type="cellIs" dxfId="329" priority="192" stopIfTrue="1" operator="equal">
      <formula>""</formula>
    </cfRule>
  </conditionalFormatting>
  <conditionalFormatting sqref="X14:X22">
    <cfRule type="cellIs" dxfId="328" priority="190" stopIfTrue="1" operator="equal">
      <formula>""</formula>
    </cfRule>
  </conditionalFormatting>
  <conditionalFormatting sqref="Y13:Y22">
    <cfRule type="cellIs" dxfId="327" priority="189" stopIfTrue="1" operator="equal">
      <formula>""</formula>
    </cfRule>
  </conditionalFormatting>
  <conditionalFormatting sqref="Z13">
    <cfRule type="cellIs" dxfId="326" priority="188" stopIfTrue="1" operator="equal">
      <formula>""</formula>
    </cfRule>
  </conditionalFormatting>
  <conditionalFormatting sqref="Z14:Z22">
    <cfRule type="cellIs" dxfId="325" priority="187" stopIfTrue="1" operator="equal">
      <formula>""</formula>
    </cfRule>
  </conditionalFormatting>
  <conditionalFormatting sqref="I13">
    <cfRule type="cellIs" dxfId="324" priority="186" stopIfTrue="1" operator="equal">
      <formula>""</formula>
    </cfRule>
  </conditionalFormatting>
  <conditionalFormatting sqref="H13">
    <cfRule type="cellIs" dxfId="323" priority="185" stopIfTrue="1" operator="equal">
      <formula>""</formula>
    </cfRule>
  </conditionalFormatting>
  <conditionalFormatting sqref="I14:I22">
    <cfRule type="cellIs" dxfId="322" priority="184" stopIfTrue="1" operator="equal">
      <formula>""</formula>
    </cfRule>
  </conditionalFormatting>
  <conditionalFormatting sqref="H14:H22">
    <cfRule type="cellIs" dxfId="321" priority="183" stopIfTrue="1" operator="equal">
      <formula>""</formula>
    </cfRule>
  </conditionalFormatting>
  <conditionalFormatting sqref="V13:V22">
    <cfRule type="cellIs" dxfId="320" priority="182" stopIfTrue="1" operator="equal">
      <formula>""</formula>
    </cfRule>
  </conditionalFormatting>
  <conditionalFormatting sqref="U13:U22">
    <cfRule type="cellIs" dxfId="319" priority="181" stopIfTrue="1" operator="equal">
      <formula>""</formula>
    </cfRule>
  </conditionalFormatting>
  <conditionalFormatting sqref="J46:J55">
    <cfRule type="cellIs" dxfId="318" priority="180" stopIfTrue="1" operator="equal">
      <formula>""</formula>
    </cfRule>
  </conditionalFormatting>
  <conditionalFormatting sqref="K46:M55">
    <cfRule type="cellIs" dxfId="317" priority="179" stopIfTrue="1" operator="equal">
      <formula>""</formula>
    </cfRule>
  </conditionalFormatting>
  <conditionalFormatting sqref="K47:K55">
    <cfRule type="cellIs" dxfId="316" priority="178" stopIfTrue="1" operator="equal">
      <formula>""</formula>
    </cfRule>
  </conditionalFormatting>
  <conditionalFormatting sqref="L46:L55">
    <cfRule type="cellIs" dxfId="315" priority="177" stopIfTrue="1" operator="equal">
      <formula>""</formula>
    </cfRule>
  </conditionalFormatting>
  <conditionalFormatting sqref="M46">
    <cfRule type="cellIs" dxfId="314" priority="176" stopIfTrue="1" operator="equal">
      <formula>""</formula>
    </cfRule>
  </conditionalFormatting>
  <conditionalFormatting sqref="M47:M55">
    <cfRule type="cellIs" dxfId="313" priority="175" stopIfTrue="1" operator="equal">
      <formula>""</formula>
    </cfRule>
  </conditionalFormatting>
  <conditionalFormatting sqref="I46">
    <cfRule type="cellIs" dxfId="312" priority="174" stopIfTrue="1" operator="equal">
      <formula>""</formula>
    </cfRule>
  </conditionalFormatting>
  <conditionalFormatting sqref="H46">
    <cfRule type="cellIs" dxfId="311" priority="173" stopIfTrue="1" operator="equal">
      <formula>""</formula>
    </cfRule>
  </conditionalFormatting>
  <conditionalFormatting sqref="I47:I55">
    <cfRule type="cellIs" dxfId="310" priority="172" stopIfTrue="1" operator="equal">
      <formula>""</formula>
    </cfRule>
  </conditionalFormatting>
  <conditionalFormatting sqref="H47:H55">
    <cfRule type="cellIs" dxfId="309" priority="171" stopIfTrue="1" operator="equal">
      <formula>""</formula>
    </cfRule>
  </conditionalFormatting>
  <conditionalFormatting sqref="J56:J65">
    <cfRule type="cellIs" dxfId="308" priority="170" stopIfTrue="1" operator="equal">
      <formula>""</formula>
    </cfRule>
  </conditionalFormatting>
  <conditionalFormatting sqref="K56:M65">
    <cfRule type="cellIs" dxfId="307" priority="169" stopIfTrue="1" operator="equal">
      <formula>""</formula>
    </cfRule>
  </conditionalFormatting>
  <conditionalFormatting sqref="L56:L65">
    <cfRule type="cellIs" dxfId="306" priority="167" stopIfTrue="1" operator="equal">
      <formula>""</formula>
    </cfRule>
  </conditionalFormatting>
  <conditionalFormatting sqref="M56">
    <cfRule type="cellIs" dxfId="305" priority="166" stopIfTrue="1" operator="equal">
      <formula>""</formula>
    </cfRule>
  </conditionalFormatting>
  <conditionalFormatting sqref="M57:M65">
    <cfRule type="cellIs" dxfId="304" priority="165" stopIfTrue="1" operator="equal">
      <formula>""</formula>
    </cfRule>
  </conditionalFormatting>
  <conditionalFormatting sqref="I56">
    <cfRule type="cellIs" dxfId="303" priority="164" stopIfTrue="1" operator="equal">
      <formula>""</formula>
    </cfRule>
  </conditionalFormatting>
  <conditionalFormatting sqref="H56">
    <cfRule type="cellIs" dxfId="302" priority="163" stopIfTrue="1" operator="equal">
      <formula>""</formula>
    </cfRule>
  </conditionalFormatting>
  <conditionalFormatting sqref="I57:I65">
    <cfRule type="cellIs" dxfId="301" priority="162" stopIfTrue="1" operator="equal">
      <formula>""</formula>
    </cfRule>
  </conditionalFormatting>
  <conditionalFormatting sqref="H90:H98">
    <cfRule type="cellIs" dxfId="300" priority="111" stopIfTrue="1" operator="equal">
      <formula>""</formula>
    </cfRule>
  </conditionalFormatting>
  <conditionalFormatting sqref="M100:M108">
    <cfRule type="cellIs" dxfId="299" priority="105" stopIfTrue="1" operator="equal">
      <formula>""</formula>
    </cfRule>
  </conditionalFormatting>
  <conditionalFormatting sqref="I99">
    <cfRule type="cellIs" dxfId="298" priority="104" stopIfTrue="1" operator="equal">
      <formula>""</formula>
    </cfRule>
  </conditionalFormatting>
  <conditionalFormatting sqref="H99">
    <cfRule type="cellIs" dxfId="297" priority="103" stopIfTrue="1" operator="equal">
      <formula>""</formula>
    </cfRule>
  </conditionalFormatting>
  <conditionalFormatting sqref="I100:I108">
    <cfRule type="cellIs" dxfId="296" priority="102" stopIfTrue="1" operator="equal">
      <formula>""</formula>
    </cfRule>
  </conditionalFormatting>
  <conditionalFormatting sqref="H100:H108">
    <cfRule type="cellIs" dxfId="295" priority="101" stopIfTrue="1" operator="equal">
      <formula>""</formula>
    </cfRule>
  </conditionalFormatting>
  <conditionalFormatting sqref="J109:J118">
    <cfRule type="cellIs" dxfId="294" priority="100" stopIfTrue="1" operator="equal">
      <formula>""</formula>
    </cfRule>
  </conditionalFormatting>
  <conditionalFormatting sqref="K109:M118">
    <cfRule type="cellIs" dxfId="293" priority="99" stopIfTrue="1" operator="equal">
      <formula>""</formula>
    </cfRule>
  </conditionalFormatting>
  <conditionalFormatting sqref="K110:K118">
    <cfRule type="cellIs" dxfId="292" priority="98" stopIfTrue="1" operator="equal">
      <formula>""</formula>
    </cfRule>
  </conditionalFormatting>
  <conditionalFormatting sqref="L109:L118">
    <cfRule type="cellIs" dxfId="291" priority="97" stopIfTrue="1" operator="equal">
      <formula>""</formula>
    </cfRule>
  </conditionalFormatting>
  <conditionalFormatting sqref="M109">
    <cfRule type="cellIs" dxfId="290" priority="96" stopIfTrue="1" operator="equal">
      <formula>""</formula>
    </cfRule>
  </conditionalFormatting>
  <conditionalFormatting sqref="M110:M118">
    <cfRule type="cellIs" dxfId="289" priority="95" stopIfTrue="1" operator="equal">
      <formula>""</formula>
    </cfRule>
  </conditionalFormatting>
  <conditionalFormatting sqref="I109">
    <cfRule type="cellIs" dxfId="288" priority="94" stopIfTrue="1" operator="equal">
      <formula>""</formula>
    </cfRule>
  </conditionalFormatting>
  <conditionalFormatting sqref="H109">
    <cfRule type="cellIs" dxfId="287" priority="93" stopIfTrue="1" operator="equal">
      <formula>""</formula>
    </cfRule>
  </conditionalFormatting>
  <conditionalFormatting sqref="I110:I118">
    <cfRule type="cellIs" dxfId="286" priority="92" stopIfTrue="1" operator="equal">
      <formula>""</formula>
    </cfRule>
  </conditionalFormatting>
  <conditionalFormatting sqref="H110:H118">
    <cfRule type="cellIs" dxfId="285" priority="91" stopIfTrue="1" operator="equal">
      <formula>""</formula>
    </cfRule>
  </conditionalFormatting>
  <conditionalFormatting sqref="W89:W98">
    <cfRule type="cellIs" dxfId="284" priority="90" stopIfTrue="1" operator="equal">
      <formula>""</formula>
    </cfRule>
  </conditionalFormatting>
  <conditionalFormatting sqref="X89:Z98">
    <cfRule type="cellIs" dxfId="283" priority="89" stopIfTrue="1" operator="equal">
      <formula>""</formula>
    </cfRule>
  </conditionalFormatting>
  <conditionalFormatting sqref="X90:X98">
    <cfRule type="cellIs" dxfId="282" priority="88" stopIfTrue="1" operator="equal">
      <formula>""</formula>
    </cfRule>
  </conditionalFormatting>
  <conditionalFormatting sqref="Y89:Y98">
    <cfRule type="cellIs" dxfId="281" priority="87" stopIfTrue="1" operator="equal">
      <formula>""</formula>
    </cfRule>
  </conditionalFormatting>
  <conditionalFormatting sqref="Z89">
    <cfRule type="cellIs" dxfId="280" priority="86" stopIfTrue="1" operator="equal">
      <formula>""</formula>
    </cfRule>
  </conditionalFormatting>
  <conditionalFormatting sqref="Z90:Z98">
    <cfRule type="cellIs" dxfId="279" priority="85" stopIfTrue="1" operator="equal">
      <formula>""</formula>
    </cfRule>
  </conditionalFormatting>
  <conditionalFormatting sqref="V89">
    <cfRule type="cellIs" dxfId="278" priority="84" stopIfTrue="1" operator="equal">
      <formula>""</formula>
    </cfRule>
  </conditionalFormatting>
  <conditionalFormatting sqref="U89">
    <cfRule type="cellIs" dxfId="277" priority="83" stopIfTrue="1" operator="equal">
      <formula>""</formula>
    </cfRule>
  </conditionalFormatting>
  <conditionalFormatting sqref="V90:V98">
    <cfRule type="cellIs" dxfId="276" priority="82" stopIfTrue="1" operator="equal">
      <formula>""</formula>
    </cfRule>
  </conditionalFormatting>
  <conditionalFormatting sqref="U90:U98">
    <cfRule type="cellIs" dxfId="275" priority="81" stopIfTrue="1" operator="equal">
      <formula>""</formula>
    </cfRule>
  </conditionalFormatting>
  <conditionalFormatting sqref="W99:W108">
    <cfRule type="cellIs" dxfId="274" priority="80" stopIfTrue="1" operator="equal">
      <formula>""</formula>
    </cfRule>
  </conditionalFormatting>
  <conditionalFormatting sqref="X99:Z108">
    <cfRule type="cellIs" dxfId="273" priority="79" stopIfTrue="1" operator="equal">
      <formula>""</formula>
    </cfRule>
  </conditionalFormatting>
  <conditionalFormatting sqref="X100:X108">
    <cfRule type="cellIs" dxfId="272" priority="78" stopIfTrue="1" operator="equal">
      <formula>""</formula>
    </cfRule>
  </conditionalFormatting>
  <conditionalFormatting sqref="Y99:Y108">
    <cfRule type="cellIs" dxfId="271" priority="77" stopIfTrue="1" operator="equal">
      <formula>""</formula>
    </cfRule>
  </conditionalFormatting>
  <conditionalFormatting sqref="Z99">
    <cfRule type="cellIs" dxfId="270" priority="76" stopIfTrue="1" operator="equal">
      <formula>""</formula>
    </cfRule>
  </conditionalFormatting>
  <conditionalFormatting sqref="Z100:Z108">
    <cfRule type="cellIs" dxfId="269" priority="75" stopIfTrue="1" operator="equal">
      <formula>""</formula>
    </cfRule>
  </conditionalFormatting>
  <conditionalFormatting sqref="V99">
    <cfRule type="cellIs" dxfId="268" priority="74" stopIfTrue="1" operator="equal">
      <formula>""</formula>
    </cfRule>
  </conditionalFormatting>
  <conditionalFormatting sqref="U99">
    <cfRule type="cellIs" dxfId="267" priority="73" stopIfTrue="1" operator="equal">
      <formula>""</formula>
    </cfRule>
  </conditionalFormatting>
  <conditionalFormatting sqref="V100:V108">
    <cfRule type="cellIs" dxfId="266" priority="72" stopIfTrue="1" operator="equal">
      <formula>""</formula>
    </cfRule>
  </conditionalFormatting>
  <conditionalFormatting sqref="U100:U108">
    <cfRule type="cellIs" dxfId="265" priority="71" stopIfTrue="1" operator="equal">
      <formula>""</formula>
    </cfRule>
  </conditionalFormatting>
  <conditionalFormatting sqref="W109:W118">
    <cfRule type="cellIs" dxfId="264" priority="70" stopIfTrue="1" operator="equal">
      <formula>""</formula>
    </cfRule>
  </conditionalFormatting>
  <conditionalFormatting sqref="X109:Z118">
    <cfRule type="cellIs" dxfId="263" priority="69" stopIfTrue="1" operator="equal">
      <formula>""</formula>
    </cfRule>
  </conditionalFormatting>
  <conditionalFormatting sqref="X110:X118">
    <cfRule type="cellIs" dxfId="262" priority="68" stopIfTrue="1" operator="equal">
      <formula>""</formula>
    </cfRule>
  </conditionalFormatting>
  <conditionalFormatting sqref="Y109:Y118">
    <cfRule type="cellIs" dxfId="261" priority="67" stopIfTrue="1" operator="equal">
      <formula>""</formula>
    </cfRule>
  </conditionalFormatting>
  <conditionalFormatting sqref="Z109">
    <cfRule type="cellIs" dxfId="260" priority="66" stopIfTrue="1" operator="equal">
      <formula>""</formula>
    </cfRule>
  </conditionalFormatting>
  <conditionalFormatting sqref="Z110:Z118">
    <cfRule type="cellIs" dxfId="259" priority="65" stopIfTrue="1" operator="equal">
      <formula>""</formula>
    </cfRule>
  </conditionalFormatting>
  <conditionalFormatting sqref="V109">
    <cfRule type="cellIs" dxfId="258" priority="64" stopIfTrue="1" operator="equal">
      <formula>""</formula>
    </cfRule>
  </conditionalFormatting>
  <conditionalFormatting sqref="U109">
    <cfRule type="cellIs" dxfId="257" priority="63" stopIfTrue="1" operator="equal">
      <formula>""</formula>
    </cfRule>
  </conditionalFormatting>
  <conditionalFormatting sqref="V110:V118">
    <cfRule type="cellIs" dxfId="256" priority="62" stopIfTrue="1" operator="equal">
      <formula>""</formula>
    </cfRule>
  </conditionalFormatting>
  <conditionalFormatting sqref="U110:U118">
    <cfRule type="cellIs" dxfId="255" priority="61" stopIfTrue="1" operator="equal">
      <formula>""</formula>
    </cfRule>
  </conditionalFormatting>
  <conditionalFormatting sqref="W132:W141">
    <cfRule type="cellIs" dxfId="254" priority="60" stopIfTrue="1" operator="equal">
      <formula>""</formula>
    </cfRule>
  </conditionalFormatting>
  <conditionalFormatting sqref="X132:Z141">
    <cfRule type="cellIs" dxfId="253" priority="59" stopIfTrue="1" operator="equal">
      <formula>""</formula>
    </cfRule>
  </conditionalFormatting>
  <conditionalFormatting sqref="X133:X141">
    <cfRule type="cellIs" dxfId="252" priority="58" stopIfTrue="1" operator="equal">
      <formula>""</formula>
    </cfRule>
  </conditionalFormatting>
  <conditionalFormatting sqref="Y132:Y141">
    <cfRule type="cellIs" dxfId="251" priority="57" stopIfTrue="1" operator="equal">
      <formula>""</formula>
    </cfRule>
  </conditionalFormatting>
  <conditionalFormatting sqref="Z132">
    <cfRule type="cellIs" dxfId="250" priority="56" stopIfTrue="1" operator="equal">
      <formula>""</formula>
    </cfRule>
  </conditionalFormatting>
  <conditionalFormatting sqref="Z133:Z141">
    <cfRule type="cellIs" dxfId="249" priority="55" stopIfTrue="1" operator="equal">
      <formula>""</formula>
    </cfRule>
  </conditionalFormatting>
  <conditionalFormatting sqref="V132">
    <cfRule type="cellIs" dxfId="248" priority="54" stopIfTrue="1" operator="equal">
      <formula>""</formula>
    </cfRule>
  </conditionalFormatting>
  <conditionalFormatting sqref="U132">
    <cfRule type="cellIs" dxfId="247" priority="53" stopIfTrue="1" operator="equal">
      <formula>""</formula>
    </cfRule>
  </conditionalFormatting>
  <conditionalFormatting sqref="V133:V141">
    <cfRule type="cellIs" dxfId="246" priority="52" stopIfTrue="1" operator="equal">
      <formula>""</formula>
    </cfRule>
  </conditionalFormatting>
  <conditionalFormatting sqref="U133:U141">
    <cfRule type="cellIs" dxfId="245" priority="51" stopIfTrue="1" operator="equal">
      <formula>""</formula>
    </cfRule>
  </conditionalFormatting>
  <conditionalFormatting sqref="W142:W151">
    <cfRule type="cellIs" dxfId="244" priority="50" stopIfTrue="1" operator="equal">
      <formula>""</formula>
    </cfRule>
  </conditionalFormatting>
  <conditionalFormatting sqref="X142:Z151">
    <cfRule type="cellIs" dxfId="243" priority="49" stopIfTrue="1" operator="equal">
      <formula>""</formula>
    </cfRule>
  </conditionalFormatting>
  <conditionalFormatting sqref="X143:X151">
    <cfRule type="cellIs" dxfId="242" priority="48" stopIfTrue="1" operator="equal">
      <formula>""</formula>
    </cfRule>
  </conditionalFormatting>
  <conditionalFormatting sqref="Y142:Y151">
    <cfRule type="cellIs" dxfId="241" priority="47" stopIfTrue="1" operator="equal">
      <formula>""</formula>
    </cfRule>
  </conditionalFormatting>
  <conditionalFormatting sqref="Z142">
    <cfRule type="cellIs" dxfId="240" priority="46" stopIfTrue="1" operator="equal">
      <formula>""</formula>
    </cfRule>
  </conditionalFormatting>
  <conditionalFormatting sqref="Z143:Z151">
    <cfRule type="cellIs" dxfId="239" priority="45" stopIfTrue="1" operator="equal">
      <formula>""</formula>
    </cfRule>
  </conditionalFormatting>
  <conditionalFormatting sqref="V142">
    <cfRule type="cellIs" dxfId="238" priority="44" stopIfTrue="1" operator="equal">
      <formula>""</formula>
    </cfRule>
  </conditionalFormatting>
  <conditionalFormatting sqref="U142">
    <cfRule type="cellIs" dxfId="237" priority="43" stopIfTrue="1" operator="equal">
      <formula>""</formula>
    </cfRule>
  </conditionalFormatting>
  <conditionalFormatting sqref="V143:V151">
    <cfRule type="cellIs" dxfId="236" priority="42" stopIfTrue="1" operator="equal">
      <formula>""</formula>
    </cfRule>
  </conditionalFormatting>
  <conditionalFormatting sqref="U143:U151">
    <cfRule type="cellIs" dxfId="235" priority="41" stopIfTrue="1" operator="equal">
      <formula>""</formula>
    </cfRule>
  </conditionalFormatting>
  <conditionalFormatting sqref="W152:W161">
    <cfRule type="cellIs" dxfId="234" priority="40" stopIfTrue="1" operator="equal">
      <formula>""</formula>
    </cfRule>
  </conditionalFormatting>
  <conditionalFormatting sqref="X152:Z161">
    <cfRule type="cellIs" dxfId="233" priority="39" stopIfTrue="1" operator="equal">
      <formula>""</formula>
    </cfRule>
  </conditionalFormatting>
  <conditionalFormatting sqref="X153:X161">
    <cfRule type="cellIs" dxfId="232" priority="38" stopIfTrue="1" operator="equal">
      <formula>""</formula>
    </cfRule>
  </conditionalFormatting>
  <conditionalFormatting sqref="Y152:Y161">
    <cfRule type="cellIs" dxfId="231" priority="37" stopIfTrue="1" operator="equal">
      <formula>""</formula>
    </cfRule>
  </conditionalFormatting>
  <conditionalFormatting sqref="Z152">
    <cfRule type="cellIs" dxfId="230" priority="36" stopIfTrue="1" operator="equal">
      <formula>""</formula>
    </cfRule>
  </conditionalFormatting>
  <conditionalFormatting sqref="Z153:Z161">
    <cfRule type="cellIs" dxfId="229" priority="35" stopIfTrue="1" operator="equal">
      <formula>""</formula>
    </cfRule>
  </conditionalFormatting>
  <conditionalFormatting sqref="V152">
    <cfRule type="cellIs" dxfId="228" priority="34" stopIfTrue="1" operator="equal">
      <formula>""</formula>
    </cfRule>
  </conditionalFormatting>
  <conditionalFormatting sqref="U152">
    <cfRule type="cellIs" dxfId="227" priority="33" stopIfTrue="1" operator="equal">
      <formula>""</formula>
    </cfRule>
  </conditionalFormatting>
  <conditionalFormatting sqref="V153:V161">
    <cfRule type="cellIs" dxfId="226" priority="32" stopIfTrue="1" operator="equal">
      <formula>""</formula>
    </cfRule>
  </conditionalFormatting>
  <conditionalFormatting sqref="U153:U161">
    <cfRule type="cellIs" dxfId="225" priority="31" stopIfTrue="1" operator="equal">
      <formula>""</formula>
    </cfRule>
  </conditionalFormatting>
  <conditionalFormatting sqref="J132:J141">
    <cfRule type="cellIs" dxfId="224" priority="30" stopIfTrue="1" operator="equal">
      <formula>""</formula>
    </cfRule>
  </conditionalFormatting>
  <conditionalFormatting sqref="K132:M141">
    <cfRule type="cellIs" dxfId="223" priority="29" stopIfTrue="1" operator="equal">
      <formula>""</formula>
    </cfRule>
  </conditionalFormatting>
  <conditionalFormatting sqref="K133:K141">
    <cfRule type="cellIs" dxfId="222" priority="28" stopIfTrue="1" operator="equal">
      <formula>""</formula>
    </cfRule>
  </conditionalFormatting>
  <conditionalFormatting sqref="L132:L141">
    <cfRule type="cellIs" dxfId="221" priority="27" stopIfTrue="1" operator="equal">
      <formula>""</formula>
    </cfRule>
  </conditionalFormatting>
  <conditionalFormatting sqref="M132">
    <cfRule type="cellIs" dxfId="220" priority="26" stopIfTrue="1" operator="equal">
      <formula>""</formula>
    </cfRule>
  </conditionalFormatting>
  <conditionalFormatting sqref="M133:M141">
    <cfRule type="cellIs" dxfId="219" priority="25" stopIfTrue="1" operator="equal">
      <formula>""</formula>
    </cfRule>
  </conditionalFormatting>
  <conditionalFormatting sqref="I132">
    <cfRule type="cellIs" dxfId="218" priority="24" stopIfTrue="1" operator="equal">
      <formula>""</formula>
    </cfRule>
  </conditionalFormatting>
  <conditionalFormatting sqref="H132">
    <cfRule type="cellIs" dxfId="217" priority="23" stopIfTrue="1" operator="equal">
      <formula>""</formula>
    </cfRule>
  </conditionalFormatting>
  <conditionalFormatting sqref="I133:I141">
    <cfRule type="cellIs" dxfId="216" priority="22" stopIfTrue="1" operator="equal">
      <formula>""</formula>
    </cfRule>
  </conditionalFormatting>
  <conditionalFormatting sqref="H133:H141">
    <cfRule type="cellIs" dxfId="215" priority="21" stopIfTrue="1" operator="equal">
      <formula>""</formula>
    </cfRule>
  </conditionalFormatting>
  <conditionalFormatting sqref="J142:J151">
    <cfRule type="cellIs" dxfId="214" priority="20" stopIfTrue="1" operator="equal">
      <formula>""</formula>
    </cfRule>
  </conditionalFormatting>
  <conditionalFormatting sqref="K142:M151">
    <cfRule type="cellIs" dxfId="213" priority="19" stopIfTrue="1" operator="equal">
      <formula>""</formula>
    </cfRule>
  </conditionalFormatting>
  <conditionalFormatting sqref="K143:K151">
    <cfRule type="cellIs" dxfId="212" priority="18" stopIfTrue="1" operator="equal">
      <formula>""</formula>
    </cfRule>
  </conditionalFormatting>
  <conditionalFormatting sqref="L142:L151">
    <cfRule type="cellIs" dxfId="211" priority="17" stopIfTrue="1" operator="equal">
      <formula>""</formula>
    </cfRule>
  </conditionalFormatting>
  <conditionalFormatting sqref="M142">
    <cfRule type="cellIs" dxfId="210" priority="16" stopIfTrue="1" operator="equal">
      <formula>""</formula>
    </cfRule>
  </conditionalFormatting>
  <conditionalFormatting sqref="M143:M151">
    <cfRule type="cellIs" dxfId="209" priority="15" stopIfTrue="1" operator="equal">
      <formula>""</formula>
    </cfRule>
  </conditionalFormatting>
  <conditionalFormatting sqref="I142">
    <cfRule type="cellIs" dxfId="208" priority="14" stopIfTrue="1" operator="equal">
      <formula>""</formula>
    </cfRule>
  </conditionalFormatting>
  <conditionalFormatting sqref="H142">
    <cfRule type="cellIs" dxfId="207" priority="13" stopIfTrue="1" operator="equal">
      <formula>""</formula>
    </cfRule>
  </conditionalFormatting>
  <conditionalFormatting sqref="I143:I151">
    <cfRule type="cellIs" dxfId="206" priority="12" stopIfTrue="1" operator="equal">
      <formula>""</formula>
    </cfRule>
  </conditionalFormatting>
  <conditionalFormatting sqref="H143:H151">
    <cfRule type="cellIs" dxfId="205" priority="11" stopIfTrue="1" operator="equal">
      <formula>""</formula>
    </cfRule>
  </conditionalFormatting>
  <conditionalFormatting sqref="J152:J161">
    <cfRule type="cellIs" dxfId="204" priority="10" stopIfTrue="1" operator="equal">
      <formula>""</formula>
    </cfRule>
  </conditionalFormatting>
  <conditionalFormatting sqref="K152:M161">
    <cfRule type="cellIs" dxfId="203" priority="9" stopIfTrue="1" operator="equal">
      <formula>""</formula>
    </cfRule>
  </conditionalFormatting>
  <conditionalFormatting sqref="K153:K161">
    <cfRule type="cellIs" dxfId="202" priority="8" stopIfTrue="1" operator="equal">
      <formula>""</formula>
    </cfRule>
  </conditionalFormatting>
  <conditionalFormatting sqref="L152:L161">
    <cfRule type="cellIs" dxfId="201" priority="7" stopIfTrue="1" operator="equal">
      <formula>""</formula>
    </cfRule>
  </conditionalFormatting>
  <conditionalFormatting sqref="M152">
    <cfRule type="cellIs" dxfId="200" priority="6" stopIfTrue="1" operator="equal">
      <formula>""</formula>
    </cfRule>
  </conditionalFormatting>
  <conditionalFormatting sqref="M153:M161">
    <cfRule type="cellIs" dxfId="199" priority="5" stopIfTrue="1" operator="equal">
      <formula>""</formula>
    </cfRule>
  </conditionalFormatting>
  <conditionalFormatting sqref="I152">
    <cfRule type="cellIs" dxfId="198" priority="4" stopIfTrue="1" operator="equal">
      <formula>""</formula>
    </cfRule>
  </conditionalFormatting>
  <conditionalFormatting sqref="H152">
    <cfRule type="cellIs" dxfId="197" priority="3" stopIfTrue="1" operator="equal">
      <formula>""</formula>
    </cfRule>
  </conditionalFormatting>
  <conditionalFormatting sqref="I153:I161">
    <cfRule type="cellIs" dxfId="196" priority="2" stopIfTrue="1" operator="equal">
      <formula>""</formula>
    </cfRule>
  </conditionalFormatting>
  <conditionalFormatting sqref="H153:H161">
    <cfRule type="cellIs" dxfId="195" priority="1" stopIfTrue="1" operator="equal">
      <formula>""</formula>
    </cfRule>
  </conditionalFormatting>
  <dataValidations count="12">
    <dataValidation type="list" allowBlank="1" showInputMessage="1" showErrorMessage="1" sqref="I218:I247 AI17:AI18 AI21:AI22 AI14:AI15 AV13:AV22 V175:V204 I175:I204 V218:V247" xr:uid="{00000000-0002-0000-0600-000001000000}">
      <formula1>$AA$13:$AA$14</formula1>
    </dataValidation>
    <dataValidation type="list" allowBlank="1" showInputMessage="1" showErrorMessage="1" sqref="H218:H247 U218:U247 AU13:AU22 U175:U204 H175:H204 AH14:AH22" xr:uid="{00000000-0002-0000-0600-000002000000}">
      <formula1>$AA$13</formula1>
    </dataValidation>
    <dataValidation type="list" allowBlank="1" showInputMessage="1" showErrorMessage="1" sqref="U162:V162 H162:I162 U205:V205 H205:I205" xr:uid="{00000000-0002-0000-0600-000003000000}">
      <formula1>#REF!</formula1>
    </dataValidation>
    <dataValidation type="list" allowBlank="1" showInputMessage="1" sqref="AI16 AI19:AI20" xr:uid="{00000000-0002-0000-0600-000005000000}">
      <formula1>$AA$13:$AA$14</formula1>
    </dataValidation>
    <dataValidation type="list" allowBlank="1" showInputMessage="1" showErrorMessage="1" sqref="K255:L255 J218:J247 W218:W247 J175:J204 W175:W204 W132:W161 W89:W118 W46:W75 J89:J118 J13:J22 J46:J75 W13:W22 AW13:AW22 AJ13:AJ22 J132:J161" xr:uid="{69398FC8-8284-4558-84DA-22434F909627}">
      <formula1>料金区分</formula1>
    </dataValidation>
    <dataValidation type="list" allowBlank="1" showInputMessage="1" showErrorMessage="1" sqref="K219:M247 X218:Z247 K175:M204 X175:Z204" xr:uid="{9F395469-7107-4048-9F6B-E27E058DA387}">
      <formula1>INDIRECT(J175)</formula1>
    </dataValidation>
    <dataValidation type="list" allowBlank="1" showInputMessage="1" showErrorMessage="1" sqref="K256:L256" xr:uid="{E84D1EB6-0507-4D9B-B260-5F5D6396719C}">
      <formula1>INDIRECT($K$255)</formula1>
    </dataValidation>
    <dataValidation type="list" allowBlank="1" showInputMessage="1" showErrorMessage="1" sqref="K218:M218" xr:uid="{B80782FB-11AE-4920-BE5B-F50995D9E18D}">
      <formula1>INDIRECT($J$218)</formula1>
    </dataValidation>
    <dataValidation type="list" allowBlank="1" showInputMessage="1" showErrorMessage="1" sqref="AH13 H13:H22 U13:U22 H46:H75 U46:U75 H89:H118 U89:U118 U132:U161 H132:H161" xr:uid="{AF1D36F9-EA11-4CCB-B9F6-E13C1C618515}">
      <formula1>$AA$13:$AA$22</formula1>
    </dataValidation>
    <dataValidation type="list" allowBlank="1" showInputMessage="1" sqref="AI13 I13:I22 V13:V22 I46:I75 V46:V75 I89:I118 V89:V118 V132:V161 I132:I161" xr:uid="{8F67050D-7423-4C35-AD1B-50F19E716E50}">
      <formula1>$AA$13:$AA$22</formula1>
    </dataValidation>
    <dataValidation type="list" allowBlank="1" showInputMessage="1" showErrorMessage="1" sqref="AX13:AZ22 AK13:AM22" xr:uid="{C403E628-AB0D-4E6C-8636-04E8FD67ED17}">
      <formula1>"身,療,精,児,介"</formula1>
    </dataValidation>
    <dataValidation type="list" allowBlank="1" showInputMessage="1" showErrorMessage="1" sqref="K13:M22 X13:Z22 K46:M75 X46:Z75 K89:M118 X89:Z118 X132:Z161 K132:M161" xr:uid="{16A211FC-714E-4B84-AB66-BDFDE6DBA8CC}">
      <formula1>"準,特,身,療,精,児,介,札"</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Header>&amp;RⅥ-6</oddHeader>
  </headerFooter>
  <rowBreaks count="5" manualBreakCount="5">
    <brk id="33" max="16383" man="1"/>
    <brk id="76" max="16383" man="1"/>
    <brk id="119" max="51" man="1"/>
    <brk id="162" max="51" man="1"/>
    <brk id="205" max="51" man="1"/>
  </rowBreaks>
  <colBreaks count="1" manualBreakCount="1">
    <brk id="26" max="161" man="1"/>
  </colBreaks>
  <ignoredErrors>
    <ignoredError sqref="BT14 BT24 BU12:BU26 BI65:BI76"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DB94"/>
  <sheetViews>
    <sheetView view="pageBreakPreview" topLeftCell="A19" zoomScaleNormal="80" zoomScaleSheetLayoutView="100" workbookViewId="0">
      <selection activeCell="C25" sqref="C25:G25"/>
    </sheetView>
  </sheetViews>
  <sheetFormatPr defaultRowHeight="13.5"/>
  <cols>
    <col min="1" max="1" width="5.75" style="91" customWidth="1"/>
    <col min="2" max="2" width="5.375" style="91" customWidth="1"/>
    <col min="3" max="3" width="5.625" style="91" customWidth="1"/>
    <col min="4" max="4" width="3.625" style="91" customWidth="1"/>
    <col min="5" max="5" width="7.625" style="91" customWidth="1"/>
    <col min="6" max="6" width="6.625" style="91" customWidth="1"/>
    <col min="7" max="7" width="8.625" style="91" customWidth="1"/>
    <col min="8" max="8" width="5" style="91" customWidth="1"/>
    <col min="9" max="11" width="6.625" style="91" customWidth="1"/>
    <col min="12" max="15" width="12.625" style="91" customWidth="1"/>
    <col min="16" max="18" width="6.625" style="91" customWidth="1"/>
    <col min="19" max="20" width="7.625" style="91" customWidth="1"/>
    <col min="21" max="21" width="5.75" style="91" customWidth="1"/>
    <col min="22" max="22" width="4.875" style="91" customWidth="1"/>
    <col min="23" max="24" width="5.75" style="91" customWidth="1"/>
    <col min="25" max="26" width="5.625" style="91" customWidth="1"/>
    <col min="27" max="29" width="7.625" style="91" customWidth="1"/>
    <col min="30" max="30" width="6.625" style="91" customWidth="1"/>
    <col min="31" max="31" width="8.625" style="91" customWidth="1"/>
    <col min="32" max="32" width="5.625" style="91" customWidth="1"/>
    <col min="33" max="34" width="5.125" style="91" customWidth="1"/>
    <col min="35" max="36" width="5.125" style="190" customWidth="1"/>
    <col min="37" max="38" width="5.125" style="91" customWidth="1"/>
    <col min="39" max="46" width="4.625" style="91" customWidth="1"/>
    <col min="47" max="48" width="13.625" style="91" customWidth="1"/>
    <col min="49" max="49" width="15.75" style="91" customWidth="1"/>
    <col min="50" max="52" width="5.625" style="91" customWidth="1"/>
    <col min="53" max="57" width="6.625" style="91" customWidth="1"/>
    <col min="58" max="58" width="8.5" style="91" customWidth="1"/>
    <col min="59" max="60" width="6.625" style="91" customWidth="1"/>
    <col min="61" max="64" width="12.625" style="91" customWidth="1"/>
    <col min="65" max="66" width="6.625" style="91" customWidth="1"/>
    <col min="67" max="67" width="8.625" style="91" customWidth="1"/>
    <col min="68" max="69" width="7.625" style="91" customWidth="1"/>
    <col min="70" max="70" width="5.75" style="91" customWidth="1"/>
    <col min="71" max="73" width="5.625" style="91" customWidth="1"/>
    <col min="74" max="75" width="5.75" style="91" customWidth="1"/>
    <col min="76" max="78" width="5.625" style="91" customWidth="1"/>
    <col min="79" max="79" width="5.875" style="91" customWidth="1"/>
    <col min="80" max="80" width="5.625" style="91" customWidth="1"/>
    <col min="81" max="95" width="5.75" style="91" customWidth="1"/>
    <col min="96" max="96" width="15.625" style="91" customWidth="1"/>
    <col min="97" max="97" width="15.625" style="383" customWidth="1"/>
    <col min="98" max="98" width="15.625" style="91" customWidth="1"/>
    <col min="99" max="99" width="48.75" style="91" bestFit="1" customWidth="1"/>
    <col min="100" max="101" width="9" style="91"/>
    <col min="102" max="102" width="31.875" style="91" bestFit="1" customWidth="1"/>
    <col min="103" max="104" width="9" style="91"/>
    <col min="105" max="105" width="29.375" style="91" customWidth="1"/>
    <col min="106" max="16384" width="9" style="91"/>
  </cols>
  <sheetData>
    <row r="1" spans="1:106" ht="23.25" customHeight="1">
      <c r="A1" s="2518" t="s">
        <v>1396</v>
      </c>
      <c r="B1" s="2518"/>
      <c r="C1" s="2518"/>
      <c r="D1" s="2518"/>
      <c r="E1" s="2518"/>
      <c r="F1" s="2518"/>
      <c r="G1" s="2518"/>
      <c r="H1" s="2518"/>
      <c r="I1" s="2518"/>
      <c r="J1" s="2518"/>
      <c r="K1" s="2518"/>
      <c r="L1" s="2518"/>
      <c r="M1" s="2518"/>
      <c r="N1" s="2519" t="s">
        <v>320</v>
      </c>
      <c r="O1" s="2519"/>
      <c r="P1" s="2530" t="str">
        <f>CONCATENATE('01 使用承認申請書'!D10)</f>
        <v/>
      </c>
      <c r="Q1" s="2530"/>
      <c r="R1" s="2530"/>
      <c r="S1" s="2530"/>
      <c r="T1" s="2530"/>
      <c r="U1" s="2530"/>
      <c r="V1" s="33"/>
      <c r="W1" s="2462" t="s">
        <v>173</v>
      </c>
      <c r="X1" s="2462"/>
      <c r="Y1" s="2462"/>
      <c r="Z1" s="2462"/>
      <c r="AA1" s="2462"/>
      <c r="AB1" s="2462"/>
      <c r="AC1" s="2462"/>
      <c r="AD1" s="2462"/>
      <c r="AE1" s="2462"/>
      <c r="AF1" s="2462"/>
      <c r="AG1" s="2462"/>
      <c r="AH1" s="2462"/>
      <c r="AI1" s="2462"/>
      <c r="AJ1" s="2462"/>
      <c r="AK1" s="2462"/>
      <c r="AL1" s="2462"/>
      <c r="AM1" s="2462"/>
      <c r="AN1" s="2462"/>
      <c r="AO1" s="2462"/>
      <c r="AP1" s="2462"/>
      <c r="AQ1" s="2462"/>
      <c r="AR1" s="2462"/>
      <c r="AS1" s="2462"/>
      <c r="AT1" s="2462"/>
      <c r="AU1" s="2462"/>
      <c r="AV1" s="2462"/>
      <c r="AW1" s="2462"/>
      <c r="AX1" s="2581" t="s">
        <v>1396</v>
      </c>
      <c r="AY1" s="2581"/>
      <c r="AZ1" s="2581"/>
      <c r="BA1" s="2581"/>
      <c r="BB1" s="2581"/>
      <c r="BC1" s="2581"/>
      <c r="BD1" s="2581"/>
      <c r="BE1" s="2581"/>
      <c r="BF1" s="2581"/>
      <c r="BG1" s="2581"/>
      <c r="BH1" s="2581"/>
      <c r="BI1" s="2581"/>
      <c r="BJ1" s="2581"/>
      <c r="BK1" s="2582" t="s">
        <v>320</v>
      </c>
      <c r="BL1" s="2582"/>
      <c r="BM1" s="2565"/>
      <c r="BN1" s="2565"/>
      <c r="BO1" s="2565"/>
      <c r="BP1" s="2565"/>
      <c r="BQ1" s="2565"/>
      <c r="BR1" s="2565"/>
      <c r="BS1" s="956"/>
      <c r="BT1" s="2447" t="s">
        <v>173</v>
      </c>
      <c r="BU1" s="2447"/>
      <c r="BV1" s="2447"/>
      <c r="BW1" s="2447"/>
      <c r="BX1" s="2447"/>
      <c r="BY1" s="2447"/>
      <c r="BZ1" s="2447"/>
      <c r="CA1" s="2447"/>
      <c r="CB1" s="2447"/>
      <c r="CC1" s="2447"/>
      <c r="CD1" s="2447"/>
      <c r="CE1" s="2447"/>
      <c r="CF1" s="2447"/>
      <c r="CG1" s="2447"/>
      <c r="CH1" s="2447"/>
      <c r="CI1" s="2447"/>
      <c r="CJ1" s="2447"/>
      <c r="CK1" s="2447"/>
      <c r="CL1" s="2447"/>
      <c r="CM1" s="2447"/>
      <c r="CN1" s="2447"/>
      <c r="CO1" s="2447"/>
      <c r="CP1" s="2447"/>
      <c r="CQ1" s="2447"/>
      <c r="CR1" s="2447"/>
      <c r="CS1" s="2447"/>
      <c r="CT1" s="2447"/>
      <c r="CU1" s="2504" t="s">
        <v>174</v>
      </c>
      <c r="CV1" s="2504"/>
      <c r="CW1" s="2504"/>
      <c r="CX1" s="2504"/>
      <c r="CY1" s="2504"/>
      <c r="CZ1" s="15"/>
      <c r="DA1" s="16"/>
      <c r="DB1" s="15"/>
    </row>
    <row r="2" spans="1:106" ht="13.5" customHeight="1" thickBot="1">
      <c r="A2" s="2518"/>
      <c r="B2" s="2518"/>
      <c r="C2" s="2518"/>
      <c r="D2" s="2518"/>
      <c r="E2" s="2518"/>
      <c r="F2" s="2518"/>
      <c r="G2" s="2518"/>
      <c r="H2" s="2518"/>
      <c r="I2" s="2518"/>
      <c r="J2" s="2518"/>
      <c r="K2" s="2518"/>
      <c r="L2" s="2518"/>
      <c r="M2" s="2518"/>
      <c r="N2" s="2520"/>
      <c r="O2" s="2520"/>
      <c r="P2" s="2530"/>
      <c r="Q2" s="2530"/>
      <c r="R2" s="2530"/>
      <c r="S2" s="2530"/>
      <c r="T2" s="2530"/>
      <c r="U2" s="2530"/>
      <c r="V2" s="34"/>
      <c r="W2" s="2503"/>
      <c r="X2" s="2503"/>
      <c r="Y2" s="2503"/>
      <c r="Z2" s="2503"/>
      <c r="AA2" s="2503"/>
      <c r="AB2" s="2503"/>
      <c r="AC2" s="2503"/>
      <c r="AD2" s="2503"/>
      <c r="AE2" s="2503"/>
      <c r="AF2" s="2503"/>
      <c r="AG2" s="2503"/>
      <c r="AH2" s="2503"/>
      <c r="AI2" s="2503"/>
      <c r="AJ2" s="2503"/>
      <c r="AK2" s="2503"/>
      <c r="AL2" s="2503"/>
      <c r="AM2" s="2503"/>
      <c r="AN2" s="2503"/>
      <c r="AO2" s="2503"/>
      <c r="AP2" s="2503"/>
      <c r="AQ2" s="2503"/>
      <c r="AR2" s="2503"/>
      <c r="AS2" s="2503"/>
      <c r="AT2" s="2503"/>
      <c r="AU2" s="2503"/>
      <c r="AV2" s="2503"/>
      <c r="AW2" s="2503"/>
      <c r="AX2" s="2581"/>
      <c r="AY2" s="2581"/>
      <c r="AZ2" s="2581"/>
      <c r="BA2" s="2581"/>
      <c r="BB2" s="2581"/>
      <c r="BC2" s="2581"/>
      <c r="BD2" s="2581"/>
      <c r="BE2" s="2581"/>
      <c r="BF2" s="2581"/>
      <c r="BG2" s="2581"/>
      <c r="BH2" s="2581"/>
      <c r="BI2" s="2581"/>
      <c r="BJ2" s="2581"/>
      <c r="BK2" s="2583"/>
      <c r="BL2" s="2583"/>
      <c r="BM2" s="2565"/>
      <c r="BN2" s="2565"/>
      <c r="BO2" s="2565"/>
      <c r="BP2" s="2565"/>
      <c r="BQ2" s="2565"/>
      <c r="BR2" s="2565"/>
      <c r="BS2" s="957"/>
      <c r="BT2" s="2566"/>
      <c r="BU2" s="2566"/>
      <c r="BV2" s="2566"/>
      <c r="BW2" s="2566"/>
      <c r="BX2" s="2566"/>
      <c r="BY2" s="2566"/>
      <c r="BZ2" s="2566"/>
      <c r="CA2" s="2566"/>
      <c r="CB2" s="2566"/>
      <c r="CC2" s="2566"/>
      <c r="CD2" s="2566"/>
      <c r="CE2" s="2566"/>
      <c r="CF2" s="2566"/>
      <c r="CG2" s="2566"/>
      <c r="CH2" s="2566"/>
      <c r="CI2" s="2566"/>
      <c r="CJ2" s="2566"/>
      <c r="CK2" s="2566"/>
      <c r="CL2" s="2566"/>
      <c r="CM2" s="2566"/>
      <c r="CN2" s="2566"/>
      <c r="CO2" s="2566"/>
      <c r="CP2" s="2566"/>
      <c r="CQ2" s="2566"/>
      <c r="CR2" s="2566"/>
      <c r="CS2" s="2566"/>
      <c r="CT2" s="2566"/>
      <c r="CU2" s="2505" t="s">
        <v>175</v>
      </c>
      <c r="CV2" s="2505"/>
      <c r="CW2" s="15"/>
      <c r="CX2" s="17" t="s">
        <v>176</v>
      </c>
      <c r="CY2" s="15"/>
      <c r="CZ2" s="15"/>
      <c r="DA2" s="18" t="s">
        <v>177</v>
      </c>
      <c r="DB2" s="15"/>
    </row>
    <row r="3" spans="1:106" ht="30" customHeight="1" thickTop="1" thickBot="1">
      <c r="A3" s="2506" t="s">
        <v>3065</v>
      </c>
      <c r="B3" s="2506"/>
      <c r="C3" s="2506"/>
      <c r="D3" s="2507"/>
      <c r="E3" s="2508" t="str">
        <f>CONCATENATE('01 使用承認申請書'!D4)</f>
        <v/>
      </c>
      <c r="F3" s="2509"/>
      <c r="G3" s="2509"/>
      <c r="H3" s="2509"/>
      <c r="I3" s="2509"/>
      <c r="J3" s="2509"/>
      <c r="K3" s="2509"/>
      <c r="L3" s="2509"/>
      <c r="M3" s="2510"/>
      <c r="N3" s="2511" t="s">
        <v>3064</v>
      </c>
      <c r="O3" s="2512"/>
      <c r="P3" s="2513"/>
      <c r="Q3" s="2514" t="str">
        <f>CONCATENATE('01 使用承認申請書'!S6)</f>
        <v/>
      </c>
      <c r="R3" s="2514"/>
      <c r="S3" s="2514"/>
      <c r="T3" s="2514"/>
      <c r="U3" s="2515"/>
      <c r="V3" s="34"/>
      <c r="W3" s="2437" t="s">
        <v>3063</v>
      </c>
      <c r="X3" s="2485" t="s">
        <v>178</v>
      </c>
      <c r="Y3" s="2486"/>
      <c r="Z3" s="2486"/>
      <c r="AA3" s="2486"/>
      <c r="AB3" s="2486"/>
      <c r="AC3" s="2487"/>
      <c r="AD3" s="581" t="s">
        <v>179</v>
      </c>
      <c r="AE3" s="2488" t="s">
        <v>180</v>
      </c>
      <c r="AF3" s="2490" t="s">
        <v>1386</v>
      </c>
      <c r="AG3" s="2491"/>
      <c r="AH3" s="2492"/>
      <c r="AI3" s="2490" t="s">
        <v>1387</v>
      </c>
      <c r="AJ3" s="2491"/>
      <c r="AK3" s="2492"/>
      <c r="AL3" s="2490" t="s">
        <v>1388</v>
      </c>
      <c r="AM3" s="2516"/>
      <c r="AN3" s="2517"/>
      <c r="AO3" s="2490" t="s">
        <v>1389</v>
      </c>
      <c r="AP3" s="2516"/>
      <c r="AQ3" s="2517"/>
      <c r="AR3" s="2490" t="s">
        <v>1397</v>
      </c>
      <c r="AS3" s="2516"/>
      <c r="AT3" s="2517"/>
      <c r="AU3" s="582" t="s">
        <v>1398</v>
      </c>
      <c r="AV3" s="583" t="s">
        <v>1399</v>
      </c>
      <c r="AW3" s="584" t="s">
        <v>181</v>
      </c>
      <c r="AX3" s="2521" t="s">
        <v>1373</v>
      </c>
      <c r="AY3" s="2521"/>
      <c r="AZ3" s="2521"/>
      <c r="BA3" s="2266"/>
      <c r="BB3" s="2522" t="s">
        <v>2996</v>
      </c>
      <c r="BC3" s="2523"/>
      <c r="BD3" s="2523"/>
      <c r="BE3" s="2523"/>
      <c r="BF3" s="2523"/>
      <c r="BG3" s="2523"/>
      <c r="BH3" s="2523"/>
      <c r="BI3" s="2523"/>
      <c r="BJ3" s="2524"/>
      <c r="BK3" s="2525" t="s">
        <v>3066</v>
      </c>
      <c r="BL3" s="2526"/>
      <c r="BM3" s="2527"/>
      <c r="BN3" s="2528" t="s">
        <v>3067</v>
      </c>
      <c r="BO3" s="2528"/>
      <c r="BP3" s="2528"/>
      <c r="BQ3" s="2528"/>
      <c r="BR3" s="2529"/>
      <c r="BS3" s="957"/>
      <c r="BT3" s="2216" t="s">
        <v>3080</v>
      </c>
      <c r="BU3" s="2531" t="s">
        <v>178</v>
      </c>
      <c r="BV3" s="2532"/>
      <c r="BW3" s="2532"/>
      <c r="BX3" s="2532"/>
      <c r="BY3" s="2532"/>
      <c r="BZ3" s="2533"/>
      <c r="CA3" s="958" t="s">
        <v>179</v>
      </c>
      <c r="CB3" s="2534" t="s">
        <v>180</v>
      </c>
      <c r="CC3" s="2440" t="s">
        <v>1386</v>
      </c>
      <c r="CD3" s="2441"/>
      <c r="CE3" s="2442"/>
      <c r="CF3" s="2440" t="s">
        <v>1387</v>
      </c>
      <c r="CG3" s="2441"/>
      <c r="CH3" s="2442"/>
      <c r="CI3" s="2440" t="s">
        <v>1388</v>
      </c>
      <c r="CJ3" s="2443"/>
      <c r="CK3" s="2444"/>
      <c r="CL3" s="2440" t="s">
        <v>1389</v>
      </c>
      <c r="CM3" s="2443"/>
      <c r="CN3" s="2444"/>
      <c r="CO3" s="2440" t="s">
        <v>1397</v>
      </c>
      <c r="CP3" s="2443"/>
      <c r="CQ3" s="2444"/>
      <c r="CR3" s="959" t="s">
        <v>1398</v>
      </c>
      <c r="CS3" s="960" t="s">
        <v>1399</v>
      </c>
      <c r="CT3" s="584" t="s">
        <v>181</v>
      </c>
      <c r="CU3" s="19" t="s">
        <v>182</v>
      </c>
      <c r="CV3" s="20"/>
      <c r="CW3" s="15"/>
      <c r="CX3" s="21"/>
      <c r="CY3" s="19"/>
      <c r="CZ3" s="15"/>
      <c r="DA3" s="21" t="s">
        <v>510</v>
      </c>
      <c r="DB3" s="19"/>
    </row>
    <row r="4" spans="1:106" ht="31.5" customHeight="1" thickTop="1" thickBot="1">
      <c r="A4" s="2507" t="s">
        <v>183</v>
      </c>
      <c r="B4" s="2536"/>
      <c r="C4" s="2536"/>
      <c r="D4" s="2536"/>
      <c r="E4" s="2460">
        <f>'01 使用承認申請書'!B12</f>
        <v>0</v>
      </c>
      <c r="F4" s="2461"/>
      <c r="G4" s="561" t="s">
        <v>18</v>
      </c>
      <c r="H4" s="562" t="str">
        <f>CONCATENATE('01 使用承認申請書'!C14)</f>
        <v/>
      </c>
      <c r="I4" s="561" t="s">
        <v>17</v>
      </c>
      <c r="J4" s="562" t="str">
        <f>CONCATENATE('01 使用承認申請書'!F14)</f>
        <v/>
      </c>
      <c r="K4" s="561" t="s">
        <v>16</v>
      </c>
      <c r="L4" s="561" t="s">
        <v>184</v>
      </c>
      <c r="M4" s="562" t="str">
        <f>CONCATENATE('01 使用承認申請書'!C16)</f>
        <v/>
      </c>
      <c r="N4" s="561" t="s">
        <v>17</v>
      </c>
      <c r="O4" s="562" t="str">
        <f>CONCATENATE('01 使用承認申請書'!F16)</f>
        <v/>
      </c>
      <c r="P4" s="561" t="s">
        <v>16</v>
      </c>
      <c r="Q4" s="563"/>
      <c r="R4" s="564" t="str">
        <f>CONCATENATE('01 使用承認申請書'!L13)</f>
        <v/>
      </c>
      <c r="S4" s="561" t="s">
        <v>51</v>
      </c>
      <c r="T4" s="565" t="str">
        <f>CONCATENATE('01 使用承認申請書'!Q13)</f>
        <v/>
      </c>
      <c r="U4" s="566" t="s">
        <v>16</v>
      </c>
      <c r="V4" s="34"/>
      <c r="W4" s="2438"/>
      <c r="X4" s="2371" t="s">
        <v>185</v>
      </c>
      <c r="Y4" s="585" t="s">
        <v>186</v>
      </c>
      <c r="Z4" s="586" t="s">
        <v>187</v>
      </c>
      <c r="AA4" s="2537" t="s">
        <v>188</v>
      </c>
      <c r="AB4" s="2537"/>
      <c r="AC4" s="2537"/>
      <c r="AD4" s="587" t="s">
        <v>189</v>
      </c>
      <c r="AE4" s="2489"/>
      <c r="AF4" s="2019" t="s">
        <v>190</v>
      </c>
      <c r="AG4" s="2020"/>
      <c r="AH4" s="2021"/>
      <c r="AI4" s="2019" t="s">
        <v>190</v>
      </c>
      <c r="AJ4" s="2020"/>
      <c r="AK4" s="2021"/>
      <c r="AL4" s="2019" t="s">
        <v>190</v>
      </c>
      <c r="AM4" s="2020"/>
      <c r="AN4" s="2021"/>
      <c r="AO4" s="2019" t="s">
        <v>191</v>
      </c>
      <c r="AP4" s="2020"/>
      <c r="AQ4" s="2021"/>
      <c r="AR4" s="2019" t="s">
        <v>190</v>
      </c>
      <c r="AS4" s="2020"/>
      <c r="AT4" s="2021"/>
      <c r="AU4" s="588" t="s">
        <v>1400</v>
      </c>
      <c r="AV4" s="589" t="s">
        <v>1400</v>
      </c>
      <c r="AW4" s="590" t="s">
        <v>192</v>
      </c>
      <c r="AX4" s="2266" t="s">
        <v>183</v>
      </c>
      <c r="AY4" s="2267"/>
      <c r="AZ4" s="2267"/>
      <c r="BA4" s="2267"/>
      <c r="BB4" s="2268">
        <f>'[1]01 使用承認申請書'!AY12</f>
        <v>0</v>
      </c>
      <c r="BC4" s="2269"/>
      <c r="BD4" s="961" t="s">
        <v>18</v>
      </c>
      <c r="BE4" s="962" t="str">
        <f>CONCATENATE('[1]01 使用承認申請書'!AZ14)</f>
        <v/>
      </c>
      <c r="BF4" s="961" t="s">
        <v>17</v>
      </c>
      <c r="BG4" s="962"/>
      <c r="BH4" s="961" t="s">
        <v>16</v>
      </c>
      <c r="BI4" s="961" t="s">
        <v>40</v>
      </c>
      <c r="BJ4" s="962" t="str">
        <f>CONCATENATE('[1]01 使用承認申請書'!AZ16)</f>
        <v/>
      </c>
      <c r="BK4" s="961" t="s">
        <v>17</v>
      </c>
      <c r="BL4" s="962"/>
      <c r="BM4" s="961" t="s">
        <v>16</v>
      </c>
      <c r="BN4" s="963"/>
      <c r="BO4" s="964"/>
      <c r="BP4" s="961" t="s">
        <v>51</v>
      </c>
      <c r="BQ4" s="965"/>
      <c r="BR4" s="566" t="s">
        <v>16</v>
      </c>
      <c r="BS4" s="957"/>
      <c r="BT4" s="2217"/>
      <c r="BU4" s="2219" t="s">
        <v>185</v>
      </c>
      <c r="BV4" s="966" t="s">
        <v>186</v>
      </c>
      <c r="BW4" s="967" t="s">
        <v>187</v>
      </c>
      <c r="BX4" s="2215" t="s">
        <v>188</v>
      </c>
      <c r="BY4" s="2215"/>
      <c r="BZ4" s="2215"/>
      <c r="CA4" s="968" t="s">
        <v>189</v>
      </c>
      <c r="CB4" s="2535"/>
      <c r="CC4" s="2210" t="s">
        <v>190</v>
      </c>
      <c r="CD4" s="2211"/>
      <c r="CE4" s="2212"/>
      <c r="CF4" s="2210" t="s">
        <v>190</v>
      </c>
      <c r="CG4" s="2211"/>
      <c r="CH4" s="2212"/>
      <c r="CI4" s="2210" t="s">
        <v>190</v>
      </c>
      <c r="CJ4" s="2211"/>
      <c r="CK4" s="2212"/>
      <c r="CL4" s="2210" t="s">
        <v>190</v>
      </c>
      <c r="CM4" s="2211"/>
      <c r="CN4" s="2212"/>
      <c r="CO4" s="2210" t="s">
        <v>190</v>
      </c>
      <c r="CP4" s="2211"/>
      <c r="CQ4" s="2212"/>
      <c r="CR4" s="969" t="s">
        <v>1400</v>
      </c>
      <c r="CS4" s="970" t="s">
        <v>1400</v>
      </c>
      <c r="CT4" s="590" t="s">
        <v>192</v>
      </c>
      <c r="CU4" s="19" t="s">
        <v>193</v>
      </c>
      <c r="CV4" s="19">
        <v>50</v>
      </c>
      <c r="CW4" s="22"/>
      <c r="CX4" s="21" t="s">
        <v>194</v>
      </c>
      <c r="CY4" s="19"/>
      <c r="CZ4" s="15"/>
      <c r="DA4" s="363" t="s">
        <v>195</v>
      </c>
      <c r="DB4" s="362">
        <v>150</v>
      </c>
    </row>
    <row r="5" spans="1:106" ht="27" customHeight="1" thickTop="1">
      <c r="A5" s="2462" t="s">
        <v>2936</v>
      </c>
      <c r="B5" s="2462"/>
      <c r="C5" s="2462"/>
      <c r="D5" s="2462"/>
      <c r="E5" s="2462"/>
      <c r="F5" s="2462"/>
      <c r="G5" s="2462"/>
      <c r="H5" s="2462"/>
      <c r="I5" s="2462"/>
      <c r="J5" s="2462"/>
      <c r="K5" s="2462"/>
      <c r="L5" s="2462"/>
      <c r="M5" s="2462"/>
      <c r="N5" s="2462"/>
      <c r="O5" s="2462"/>
      <c r="P5" s="2462"/>
      <c r="Q5" s="2462"/>
      <c r="R5" s="2462"/>
      <c r="S5" s="2462"/>
      <c r="T5" s="2462"/>
      <c r="U5" s="2462"/>
      <c r="V5" s="1102" t="b">
        <v>0</v>
      </c>
      <c r="W5" s="2438"/>
      <c r="X5" s="2372"/>
      <c r="Y5" s="591">
        <f>'03 食事申込書'!BT106</f>
        <v>0</v>
      </c>
      <c r="Z5" s="592">
        <f>'03 食事申込書'!BV106</f>
        <v>0</v>
      </c>
      <c r="AA5" s="2493">
        <f>'03 食事申込書'!BW106</f>
        <v>0</v>
      </c>
      <c r="AB5" s="2494"/>
      <c r="AC5" s="2494"/>
      <c r="AD5" s="593">
        <f>IF(ISERROR(VLOOKUP(AA5,$CX$3:$CY$49,2,FALSE)),0,VLOOKUP(AA5,$CX$3:$CY$49,2,FALSE))</f>
        <v>0</v>
      </c>
      <c r="AE5" s="594">
        <f>'03 食事申込書'!BY106</f>
        <v>0</v>
      </c>
      <c r="AF5" s="2394"/>
      <c r="AG5" s="2023"/>
      <c r="AH5" s="2024"/>
      <c r="AI5" s="2023"/>
      <c r="AJ5" s="2023"/>
      <c r="AK5" s="2024"/>
      <c r="AL5" s="2022"/>
      <c r="AM5" s="2023"/>
      <c r="AN5" s="2024"/>
      <c r="AO5" s="2022"/>
      <c r="AP5" s="2023"/>
      <c r="AQ5" s="2024"/>
      <c r="AR5" s="2022"/>
      <c r="AS5" s="2023"/>
      <c r="AT5" s="2024"/>
      <c r="AU5" s="595"/>
      <c r="AV5" s="596"/>
      <c r="AW5" s="880">
        <f>IF('03 食事申込書'!BY106=AF5+AI5+AR5+AL5+AO5+AU5+AV5,AD5*AE5,"人数を再確認！")</f>
        <v>0</v>
      </c>
      <c r="AX5" s="2447" t="s">
        <v>2936</v>
      </c>
      <c r="AY5" s="2447"/>
      <c r="AZ5" s="2447"/>
      <c r="BA5" s="2447"/>
      <c r="BB5" s="2447"/>
      <c r="BC5" s="2447"/>
      <c r="BD5" s="2447"/>
      <c r="BE5" s="2447"/>
      <c r="BF5" s="2447"/>
      <c r="BG5" s="2447"/>
      <c r="BH5" s="2447"/>
      <c r="BI5" s="2447"/>
      <c r="BJ5" s="2447"/>
      <c r="BK5" s="2447"/>
      <c r="BL5" s="2447"/>
      <c r="BM5" s="2447"/>
      <c r="BN5" s="2447"/>
      <c r="BO5" s="2447"/>
      <c r="BP5" s="2447"/>
      <c r="BQ5" s="2447"/>
      <c r="BR5" s="2447"/>
      <c r="BS5" s="971"/>
      <c r="BT5" s="2217"/>
      <c r="BU5" s="2220"/>
      <c r="BV5" s="972">
        <v>8</v>
      </c>
      <c r="BW5" s="973" t="s">
        <v>113</v>
      </c>
      <c r="BX5" s="2213" t="s">
        <v>3068</v>
      </c>
      <c r="BY5" s="2214"/>
      <c r="BZ5" s="2214"/>
      <c r="CA5" s="593">
        <v>500</v>
      </c>
      <c r="CB5" s="974">
        <v>111</v>
      </c>
      <c r="CC5" s="2150">
        <v>100</v>
      </c>
      <c r="CD5" s="2151"/>
      <c r="CE5" s="2152"/>
      <c r="CF5" s="2151">
        <v>10</v>
      </c>
      <c r="CG5" s="2151"/>
      <c r="CH5" s="2152"/>
      <c r="CI5" s="2153">
        <v>1</v>
      </c>
      <c r="CJ5" s="2151"/>
      <c r="CK5" s="2152"/>
      <c r="CL5" s="2153"/>
      <c r="CM5" s="2151"/>
      <c r="CN5" s="2152"/>
      <c r="CO5" s="2153"/>
      <c r="CP5" s="2151"/>
      <c r="CQ5" s="2152"/>
      <c r="CR5" s="975"/>
      <c r="CS5" s="976"/>
      <c r="CT5" s="929">
        <f>CA5*CB5</f>
        <v>55500</v>
      </c>
      <c r="CU5" s="19" t="s">
        <v>196</v>
      </c>
      <c r="CV5" s="19">
        <v>80</v>
      </c>
      <c r="CW5" s="23"/>
      <c r="CX5" s="24" t="s">
        <v>197</v>
      </c>
      <c r="CY5" s="19">
        <v>530</v>
      </c>
      <c r="CZ5" s="17"/>
      <c r="DA5" s="363" t="s">
        <v>2812</v>
      </c>
      <c r="DB5" s="362">
        <v>250</v>
      </c>
    </row>
    <row r="6" spans="1:106" ht="27" customHeight="1">
      <c r="A6" s="2462"/>
      <c r="B6" s="2462"/>
      <c r="C6" s="2462"/>
      <c r="D6" s="2462"/>
      <c r="E6" s="2462"/>
      <c r="F6" s="2462"/>
      <c r="G6" s="2462"/>
      <c r="H6" s="2462"/>
      <c r="I6" s="2462"/>
      <c r="J6" s="2462"/>
      <c r="K6" s="2462"/>
      <c r="L6" s="2462"/>
      <c r="M6" s="2462"/>
      <c r="N6" s="2462"/>
      <c r="O6" s="2462"/>
      <c r="P6" s="2462"/>
      <c r="Q6" s="2462"/>
      <c r="R6" s="2462"/>
      <c r="S6" s="2462"/>
      <c r="T6" s="2462"/>
      <c r="U6" s="2462"/>
      <c r="V6" s="1102" t="b">
        <v>0</v>
      </c>
      <c r="W6" s="2438"/>
      <c r="X6" s="2372"/>
      <c r="Y6" s="597">
        <f>'03 食事申込書'!BT107</f>
        <v>0</v>
      </c>
      <c r="Z6" s="598">
        <f>'03 食事申込書'!BV107</f>
        <v>0</v>
      </c>
      <c r="AA6" s="2501">
        <f>'03 食事申込書'!BW107</f>
        <v>0</v>
      </c>
      <c r="AB6" s="2502"/>
      <c r="AC6" s="2502"/>
      <c r="AD6" s="599">
        <f>IF(ISERROR(VLOOKUP(AA6,CX3:CY51,2,FALSE)),0,VLOOKUP(AA6,CX3:CY51,2,FALSE))</f>
        <v>0</v>
      </c>
      <c r="AE6" s="594">
        <f>'03 食事申込書'!BY107</f>
        <v>0</v>
      </c>
      <c r="AF6" s="2300"/>
      <c r="AG6" s="2026"/>
      <c r="AH6" s="2027"/>
      <c r="AI6" s="2026"/>
      <c r="AJ6" s="2026"/>
      <c r="AK6" s="2027"/>
      <c r="AL6" s="2025"/>
      <c r="AM6" s="2026"/>
      <c r="AN6" s="2027"/>
      <c r="AO6" s="2025"/>
      <c r="AP6" s="2026"/>
      <c r="AQ6" s="2027"/>
      <c r="AR6" s="2025"/>
      <c r="AS6" s="2026"/>
      <c r="AT6" s="2027"/>
      <c r="AU6" s="600"/>
      <c r="AV6" s="601"/>
      <c r="AW6" s="880">
        <f>IF('03 食事申込書'!BY107=AF6+AI6+AV6+AL6+AO6+AR6+AU6,AD6*AE6,"人数を再確認！")</f>
        <v>0</v>
      </c>
      <c r="AX6" s="2447"/>
      <c r="AY6" s="2447"/>
      <c r="AZ6" s="2447"/>
      <c r="BA6" s="2447"/>
      <c r="BB6" s="2447"/>
      <c r="BC6" s="2447"/>
      <c r="BD6" s="2447"/>
      <c r="BE6" s="2447"/>
      <c r="BF6" s="2447"/>
      <c r="BG6" s="2447"/>
      <c r="BH6" s="2447"/>
      <c r="BI6" s="2447"/>
      <c r="BJ6" s="2447"/>
      <c r="BK6" s="2447"/>
      <c r="BL6" s="2447"/>
      <c r="BM6" s="2447"/>
      <c r="BN6" s="2447"/>
      <c r="BO6" s="2447"/>
      <c r="BP6" s="2447"/>
      <c r="BQ6" s="2447"/>
      <c r="BR6" s="2447"/>
      <c r="BS6" s="971"/>
      <c r="BT6" s="2217"/>
      <c r="BU6" s="2220"/>
      <c r="BV6" s="977">
        <f>'[1]03 食事申込書'!DQ107</f>
        <v>0</v>
      </c>
      <c r="BW6" s="978">
        <f>'[1]03 食事申込書'!DS107</f>
        <v>0</v>
      </c>
      <c r="BX6" s="2445" t="s">
        <v>3069</v>
      </c>
      <c r="BY6" s="2446"/>
      <c r="BZ6" s="2446"/>
      <c r="CA6" s="599">
        <v>700</v>
      </c>
      <c r="CB6" s="974">
        <v>100</v>
      </c>
      <c r="CC6" s="2183">
        <v>100</v>
      </c>
      <c r="CD6" s="2145"/>
      <c r="CE6" s="2146"/>
      <c r="CF6" s="2145"/>
      <c r="CG6" s="2145"/>
      <c r="CH6" s="2146"/>
      <c r="CI6" s="2144"/>
      <c r="CJ6" s="2145"/>
      <c r="CK6" s="2146"/>
      <c r="CL6" s="2144"/>
      <c r="CM6" s="2145"/>
      <c r="CN6" s="2146"/>
      <c r="CO6" s="2144"/>
      <c r="CP6" s="2145"/>
      <c r="CQ6" s="2146"/>
      <c r="CR6" s="979"/>
      <c r="CS6" s="980"/>
      <c r="CT6" s="929">
        <f t="shared" ref="CT6:CT13" si="0">CA6*CB6</f>
        <v>70000</v>
      </c>
      <c r="CU6" s="19" t="s">
        <v>198</v>
      </c>
      <c r="CV6" s="20"/>
      <c r="CW6" s="15"/>
      <c r="CX6" s="24" t="s">
        <v>199</v>
      </c>
      <c r="CY6" s="19">
        <v>590</v>
      </c>
      <c r="CZ6" s="25"/>
      <c r="DA6" s="363" t="s">
        <v>205</v>
      </c>
      <c r="DB6" s="362">
        <v>250</v>
      </c>
    </row>
    <row r="7" spans="1:106" ht="27" customHeight="1">
      <c r="A7" s="2462"/>
      <c r="B7" s="2462"/>
      <c r="C7" s="2462"/>
      <c r="D7" s="2462"/>
      <c r="E7" s="2462"/>
      <c r="F7" s="2462"/>
      <c r="G7" s="2462"/>
      <c r="H7" s="2462"/>
      <c r="I7" s="2462"/>
      <c r="J7" s="2462"/>
      <c r="K7" s="2462"/>
      <c r="L7" s="2462"/>
      <c r="M7" s="2462"/>
      <c r="N7" s="2462"/>
      <c r="O7" s="2462"/>
      <c r="P7" s="2462"/>
      <c r="Q7" s="2462"/>
      <c r="R7" s="2462"/>
      <c r="S7" s="2462"/>
      <c r="T7" s="2462"/>
      <c r="U7" s="2462"/>
      <c r="V7" s="1102" t="b">
        <v>0</v>
      </c>
      <c r="W7" s="2438"/>
      <c r="X7" s="2372"/>
      <c r="Y7" s="597">
        <f>'03 食事申込書'!BT108</f>
        <v>0</v>
      </c>
      <c r="Z7" s="598">
        <f>'03 食事申込書'!BV108</f>
        <v>0</v>
      </c>
      <c r="AA7" s="2392">
        <f>'03 食事申込書'!BW108</f>
        <v>0</v>
      </c>
      <c r="AB7" s="2393"/>
      <c r="AC7" s="2393"/>
      <c r="AD7" s="599">
        <f>IF(ISERROR(VLOOKUP(AA7,CX3:CY51,2,FALSE)),0,VLOOKUP(AA7,CX3:CY51,2,FALSE))</f>
        <v>0</v>
      </c>
      <c r="AE7" s="594">
        <f>'03 食事申込書'!BY108</f>
        <v>0</v>
      </c>
      <c r="AF7" s="2300"/>
      <c r="AG7" s="2026"/>
      <c r="AH7" s="2027"/>
      <c r="AI7" s="2026"/>
      <c r="AJ7" s="2026"/>
      <c r="AK7" s="2027"/>
      <c r="AL7" s="2025"/>
      <c r="AM7" s="2026"/>
      <c r="AN7" s="2027"/>
      <c r="AO7" s="2025"/>
      <c r="AP7" s="2026"/>
      <c r="AQ7" s="2027"/>
      <c r="AR7" s="2025"/>
      <c r="AS7" s="2026"/>
      <c r="AT7" s="2027"/>
      <c r="AU7" s="600"/>
      <c r="AV7" s="601"/>
      <c r="AW7" s="880">
        <f>IF('03 食事申込書'!BY108=AF7+AI7+AR7+AL7+AO7+AU7+AV7,AD7*AE7,"人数を再確認！")</f>
        <v>0</v>
      </c>
      <c r="AX7" s="2447"/>
      <c r="AY7" s="2447"/>
      <c r="AZ7" s="2447"/>
      <c r="BA7" s="2447"/>
      <c r="BB7" s="2447"/>
      <c r="BC7" s="2447"/>
      <c r="BD7" s="2447"/>
      <c r="BE7" s="2447"/>
      <c r="BF7" s="2447"/>
      <c r="BG7" s="2447"/>
      <c r="BH7" s="2447"/>
      <c r="BI7" s="2447"/>
      <c r="BJ7" s="2447"/>
      <c r="BK7" s="2447"/>
      <c r="BL7" s="2447"/>
      <c r="BM7" s="2447"/>
      <c r="BN7" s="2447"/>
      <c r="BO7" s="2447"/>
      <c r="BP7" s="2447"/>
      <c r="BQ7" s="2447"/>
      <c r="BR7" s="2447"/>
      <c r="BS7" s="971"/>
      <c r="BT7" s="2217"/>
      <c r="BU7" s="2220"/>
      <c r="BV7" s="977">
        <f>'[1]03 食事申込書'!DQ108</f>
        <v>0</v>
      </c>
      <c r="BW7" s="978">
        <f>'[1]03 食事申込書'!DS108</f>
        <v>0</v>
      </c>
      <c r="BX7" s="2193" t="s">
        <v>3070</v>
      </c>
      <c r="BY7" s="2194"/>
      <c r="BZ7" s="2194"/>
      <c r="CA7" s="599">
        <v>750</v>
      </c>
      <c r="CB7" s="974">
        <v>10</v>
      </c>
      <c r="CC7" s="2183"/>
      <c r="CD7" s="2145"/>
      <c r="CE7" s="2146"/>
      <c r="CF7" s="2145">
        <v>10</v>
      </c>
      <c r="CG7" s="2145"/>
      <c r="CH7" s="2146"/>
      <c r="CI7" s="2144"/>
      <c r="CJ7" s="2145"/>
      <c r="CK7" s="2146"/>
      <c r="CL7" s="2144"/>
      <c r="CM7" s="2145"/>
      <c r="CN7" s="2146"/>
      <c r="CO7" s="2144"/>
      <c r="CP7" s="2145"/>
      <c r="CQ7" s="2146"/>
      <c r="CR7" s="979"/>
      <c r="CS7" s="980"/>
      <c r="CT7" s="929">
        <f t="shared" si="0"/>
        <v>7500</v>
      </c>
      <c r="CU7" s="19" t="s">
        <v>193</v>
      </c>
      <c r="CV7" s="19">
        <v>290</v>
      </c>
      <c r="CW7" s="15"/>
      <c r="CX7" s="24" t="s">
        <v>200</v>
      </c>
      <c r="CY7" s="19">
        <v>640</v>
      </c>
      <c r="CZ7" s="25"/>
      <c r="DA7" s="363" t="s">
        <v>2813</v>
      </c>
      <c r="DB7" s="362">
        <v>350</v>
      </c>
    </row>
    <row r="8" spans="1:106" ht="27" customHeight="1">
      <c r="A8" s="2462"/>
      <c r="B8" s="2462"/>
      <c r="C8" s="2462"/>
      <c r="D8" s="2462"/>
      <c r="E8" s="2462"/>
      <c r="F8" s="2462"/>
      <c r="G8" s="2462"/>
      <c r="H8" s="2462"/>
      <c r="I8" s="2462"/>
      <c r="J8" s="2462"/>
      <c r="K8" s="2462"/>
      <c r="L8" s="2462"/>
      <c r="M8" s="2462"/>
      <c r="N8" s="2462"/>
      <c r="O8" s="2462"/>
      <c r="P8" s="2462"/>
      <c r="Q8" s="2462"/>
      <c r="R8" s="2462"/>
      <c r="S8" s="2462"/>
      <c r="T8" s="2462"/>
      <c r="U8" s="2462"/>
      <c r="V8" s="1102" t="b">
        <v>0</v>
      </c>
      <c r="W8" s="2438"/>
      <c r="X8" s="2372"/>
      <c r="Y8" s="597">
        <f>'03 食事申込書'!BT109</f>
        <v>0</v>
      </c>
      <c r="Z8" s="598">
        <f>'03 食事申込書'!BV109</f>
        <v>0</v>
      </c>
      <c r="AA8" s="2392">
        <f>'03 食事申込書'!BW109</f>
        <v>0</v>
      </c>
      <c r="AB8" s="2393"/>
      <c r="AC8" s="2393"/>
      <c r="AD8" s="599">
        <f>IF(ISERROR(VLOOKUP(AA8,CX3:CY49,2,FALSE)),0,VLOOKUP(AA8,CX3:CY49,2,FALSE))</f>
        <v>0</v>
      </c>
      <c r="AE8" s="594">
        <f>'03 食事申込書'!BY109</f>
        <v>0</v>
      </c>
      <c r="AF8" s="2300"/>
      <c r="AG8" s="2026"/>
      <c r="AH8" s="2027"/>
      <c r="AI8" s="2026"/>
      <c r="AJ8" s="2026"/>
      <c r="AK8" s="2027"/>
      <c r="AL8" s="2025"/>
      <c r="AM8" s="2026"/>
      <c r="AN8" s="2027"/>
      <c r="AO8" s="2025"/>
      <c r="AP8" s="2026"/>
      <c r="AQ8" s="2027"/>
      <c r="AR8" s="2025"/>
      <c r="AS8" s="2026"/>
      <c r="AT8" s="2027"/>
      <c r="AU8" s="600"/>
      <c r="AV8" s="601"/>
      <c r="AW8" s="880">
        <f>IF('03 食事申込書'!BY109=AF8+AI8+AR8+AL8+AO8+AU8+AV8,AD8*AE8,"人数を再確認！")</f>
        <v>0</v>
      </c>
      <c r="AX8" s="2447"/>
      <c r="AY8" s="2447"/>
      <c r="AZ8" s="2447"/>
      <c r="BA8" s="2447"/>
      <c r="BB8" s="2447"/>
      <c r="BC8" s="2447"/>
      <c r="BD8" s="2447"/>
      <c r="BE8" s="2447"/>
      <c r="BF8" s="2447"/>
      <c r="BG8" s="2447"/>
      <c r="BH8" s="2447"/>
      <c r="BI8" s="2447"/>
      <c r="BJ8" s="2447"/>
      <c r="BK8" s="2447"/>
      <c r="BL8" s="2447"/>
      <c r="BM8" s="2447"/>
      <c r="BN8" s="2447"/>
      <c r="BO8" s="2447"/>
      <c r="BP8" s="2447"/>
      <c r="BQ8" s="2447"/>
      <c r="BR8" s="2447"/>
      <c r="BS8" s="971"/>
      <c r="BT8" s="2217"/>
      <c r="BU8" s="2220"/>
      <c r="BV8" s="977">
        <f>'[1]03 食事申込書'!DQ109</f>
        <v>0</v>
      </c>
      <c r="BW8" s="978">
        <f>'[1]03 食事申込書'!DS109</f>
        <v>0</v>
      </c>
      <c r="BX8" s="2193" t="s">
        <v>3071</v>
      </c>
      <c r="BY8" s="2194"/>
      <c r="BZ8" s="2194"/>
      <c r="CA8" s="599">
        <v>570</v>
      </c>
      <c r="CB8" s="974">
        <v>100</v>
      </c>
      <c r="CC8" s="2183">
        <v>100</v>
      </c>
      <c r="CD8" s="2145"/>
      <c r="CE8" s="2146"/>
      <c r="CF8" s="2145"/>
      <c r="CG8" s="2145"/>
      <c r="CH8" s="2146"/>
      <c r="CI8" s="2144"/>
      <c r="CJ8" s="2145"/>
      <c r="CK8" s="2146"/>
      <c r="CL8" s="2144"/>
      <c r="CM8" s="2145"/>
      <c r="CN8" s="2146"/>
      <c r="CO8" s="2144"/>
      <c r="CP8" s="2145"/>
      <c r="CQ8" s="2146"/>
      <c r="CR8" s="979"/>
      <c r="CS8" s="980"/>
      <c r="CT8" s="929">
        <f t="shared" si="0"/>
        <v>57000</v>
      </c>
      <c r="CU8" s="19" t="s">
        <v>196</v>
      </c>
      <c r="CV8" s="19">
        <v>450</v>
      </c>
      <c r="CW8" s="15"/>
      <c r="CX8" s="24" t="s">
        <v>201</v>
      </c>
      <c r="CY8" s="19">
        <v>630</v>
      </c>
      <c r="CZ8" s="26"/>
      <c r="DA8" s="363" t="s">
        <v>211</v>
      </c>
      <c r="DB8" s="362">
        <v>400</v>
      </c>
    </row>
    <row r="9" spans="1:106" ht="27" customHeight="1" thickBot="1">
      <c r="A9" s="2413" t="s">
        <v>3054</v>
      </c>
      <c r="B9" s="2414"/>
      <c r="C9" s="2414"/>
      <c r="D9" s="2414"/>
      <c r="E9" s="2414"/>
      <c r="F9" s="2414"/>
      <c r="G9" s="2414"/>
      <c r="H9" s="2414"/>
      <c r="I9" s="2414"/>
      <c r="J9" s="2414"/>
      <c r="K9" s="2414"/>
      <c r="L9" s="2414"/>
      <c r="M9" s="2414"/>
      <c r="N9" s="2414"/>
      <c r="O9" s="2414"/>
      <c r="P9" s="2415" t="s">
        <v>175</v>
      </c>
      <c r="Q9" s="2417"/>
      <c r="R9" s="2415" t="s">
        <v>206</v>
      </c>
      <c r="S9" s="2416"/>
      <c r="T9" s="2416"/>
      <c r="U9" s="2417"/>
      <c r="V9" s="1102" t="b">
        <v>0</v>
      </c>
      <c r="W9" s="2438"/>
      <c r="X9" s="2372"/>
      <c r="Y9" s="597">
        <f>'03 食事申込書'!BT110</f>
        <v>0</v>
      </c>
      <c r="Z9" s="598">
        <f>'03 食事申込書'!BV110</f>
        <v>0</v>
      </c>
      <c r="AA9" s="2392">
        <f>'03 食事申込書'!BW110</f>
        <v>0</v>
      </c>
      <c r="AB9" s="2393"/>
      <c r="AC9" s="2393"/>
      <c r="AD9" s="602">
        <f>IF(ISERROR(VLOOKUP(AA9,CX3:CY49,2,FALSE)),0,VLOOKUP(AA9,CX3:CY49,2,FALSE))</f>
        <v>0</v>
      </c>
      <c r="AE9" s="594">
        <f>'03 食事申込書'!BY110</f>
        <v>0</v>
      </c>
      <c r="AF9" s="2300"/>
      <c r="AG9" s="2026"/>
      <c r="AH9" s="2027"/>
      <c r="AI9" s="2026"/>
      <c r="AJ9" s="2026"/>
      <c r="AK9" s="2027"/>
      <c r="AL9" s="2025"/>
      <c r="AM9" s="2026"/>
      <c r="AN9" s="2027"/>
      <c r="AO9" s="2025"/>
      <c r="AP9" s="2026"/>
      <c r="AQ9" s="2027"/>
      <c r="AR9" s="2025"/>
      <c r="AS9" s="2026"/>
      <c r="AT9" s="2027"/>
      <c r="AU9" s="600"/>
      <c r="AV9" s="601"/>
      <c r="AW9" s="880">
        <f>IF('03 食事申込書'!BY110=AF9+AI9+AR9+AL9+AO9+AU9+AV9,AD9*AE9,"人数を再確認！")</f>
        <v>0</v>
      </c>
      <c r="AX9" s="2457" t="s">
        <v>3054</v>
      </c>
      <c r="AY9" s="2458"/>
      <c r="AZ9" s="2458"/>
      <c r="BA9" s="2458"/>
      <c r="BB9" s="2458"/>
      <c r="BC9" s="2458"/>
      <c r="BD9" s="2458"/>
      <c r="BE9" s="2458"/>
      <c r="BF9" s="2458"/>
      <c r="BG9" s="2458"/>
      <c r="BH9" s="2458"/>
      <c r="BI9" s="2458"/>
      <c r="BJ9" s="2458"/>
      <c r="BK9" s="2458"/>
      <c r="BL9" s="2458"/>
      <c r="BM9" s="2458"/>
      <c r="BN9" s="2459"/>
      <c r="BO9" s="981" t="s">
        <v>175</v>
      </c>
      <c r="BP9" s="2448" t="s">
        <v>206</v>
      </c>
      <c r="BQ9" s="2449"/>
      <c r="BR9" s="982"/>
      <c r="BS9" s="971"/>
      <c r="BT9" s="2217"/>
      <c r="BU9" s="2220"/>
      <c r="BV9" s="977">
        <f>'[1]03 食事申込書'!DQ110</f>
        <v>0</v>
      </c>
      <c r="BW9" s="978">
        <f>'[1]03 食事申込書'!DS110</f>
        <v>0</v>
      </c>
      <c r="BX9" s="2193" t="s">
        <v>3072</v>
      </c>
      <c r="BY9" s="2194"/>
      <c r="BZ9" s="2194"/>
      <c r="CA9" s="602">
        <v>620</v>
      </c>
      <c r="CB9" s="974">
        <v>10</v>
      </c>
      <c r="CC9" s="2183"/>
      <c r="CD9" s="2145"/>
      <c r="CE9" s="2146"/>
      <c r="CF9" s="2145">
        <v>10</v>
      </c>
      <c r="CG9" s="2145"/>
      <c r="CH9" s="2146"/>
      <c r="CI9" s="2144"/>
      <c r="CJ9" s="2145"/>
      <c r="CK9" s="2146"/>
      <c r="CL9" s="2144"/>
      <c r="CM9" s="2145"/>
      <c r="CN9" s="2146"/>
      <c r="CO9" s="2144"/>
      <c r="CP9" s="2145"/>
      <c r="CQ9" s="2146"/>
      <c r="CR9" s="979"/>
      <c r="CS9" s="980"/>
      <c r="CT9" s="929">
        <f t="shared" si="0"/>
        <v>6200</v>
      </c>
      <c r="CU9" s="15"/>
      <c r="CV9" s="15"/>
      <c r="CW9" s="15"/>
      <c r="CX9" s="24" t="s">
        <v>202</v>
      </c>
      <c r="CY9" s="19">
        <v>700</v>
      </c>
      <c r="CZ9" s="26"/>
      <c r="DA9" s="363" t="s">
        <v>2814</v>
      </c>
      <c r="DB9" s="362">
        <v>500</v>
      </c>
    </row>
    <row r="10" spans="1:106" ht="27" customHeight="1" thickTop="1">
      <c r="A10" s="2463" t="s">
        <v>208</v>
      </c>
      <c r="B10" s="2464"/>
      <c r="C10" s="2434" t="s">
        <v>209</v>
      </c>
      <c r="D10" s="2435"/>
      <c r="E10" s="2435"/>
      <c r="F10" s="2436"/>
      <c r="G10" s="2428"/>
      <c r="H10" s="2429"/>
      <c r="I10" s="2429"/>
      <c r="J10" s="2429"/>
      <c r="K10" s="2429"/>
      <c r="L10" s="2429"/>
      <c r="M10" s="2429"/>
      <c r="N10" s="2429"/>
      <c r="O10" s="2430"/>
      <c r="P10" s="2469" t="s">
        <v>3043</v>
      </c>
      <c r="Q10" s="2470"/>
      <c r="R10" s="2418" t="s">
        <v>3121</v>
      </c>
      <c r="S10" s="2419"/>
      <c r="T10" s="2473" t="s">
        <v>3122</v>
      </c>
      <c r="U10" s="2474"/>
      <c r="V10" s="1103" t="b">
        <v>0</v>
      </c>
      <c r="W10" s="2438"/>
      <c r="X10" s="2372"/>
      <c r="Y10" s="597">
        <f>'03 食事申込書'!BT111</f>
        <v>0</v>
      </c>
      <c r="Z10" s="598">
        <f>'03 食事申込書'!BV111</f>
        <v>0</v>
      </c>
      <c r="AA10" s="2392">
        <f>'03 食事申込書'!BW111</f>
        <v>0</v>
      </c>
      <c r="AB10" s="2393"/>
      <c r="AC10" s="2393"/>
      <c r="AD10" s="599">
        <f>IF(ISERROR(VLOOKUP(AA10,CX3:CY49,2,FALSE)),0,VLOOKUP(AA10,CX3:CY49,2,FALSE))</f>
        <v>0</v>
      </c>
      <c r="AE10" s="594">
        <f>'03 食事申込書'!BY111</f>
        <v>0</v>
      </c>
      <c r="AF10" s="2300"/>
      <c r="AG10" s="2026"/>
      <c r="AH10" s="2027"/>
      <c r="AI10" s="2026"/>
      <c r="AJ10" s="2026"/>
      <c r="AK10" s="2027"/>
      <c r="AL10" s="2025"/>
      <c r="AM10" s="2026"/>
      <c r="AN10" s="2027"/>
      <c r="AO10" s="2025"/>
      <c r="AP10" s="2026"/>
      <c r="AQ10" s="2027"/>
      <c r="AR10" s="2025"/>
      <c r="AS10" s="2026"/>
      <c r="AT10" s="2027"/>
      <c r="AU10" s="600"/>
      <c r="AV10" s="601"/>
      <c r="AW10" s="880">
        <f>IF('03 食事申込書'!BY111=AF10+AI10+AR10+AL10+AO10+AU10+AV10,AD10*AE10,"人数を再確認！")</f>
        <v>0</v>
      </c>
      <c r="AX10" s="2450" t="s">
        <v>208</v>
      </c>
      <c r="AY10" s="2451"/>
      <c r="AZ10" s="2200" t="s">
        <v>209</v>
      </c>
      <c r="BA10" s="2201"/>
      <c r="BB10" s="2201"/>
      <c r="BC10" s="2202"/>
      <c r="BD10" s="2252" t="s">
        <v>3073</v>
      </c>
      <c r="BE10" s="2253"/>
      <c r="BF10" s="2253"/>
      <c r="BG10" s="2253"/>
      <c r="BH10" s="2253"/>
      <c r="BI10" s="2253"/>
      <c r="BJ10" s="2253"/>
      <c r="BK10" s="2253"/>
      <c r="BL10" s="2253"/>
      <c r="BM10" s="2253"/>
      <c r="BN10" s="2254"/>
      <c r="BO10" s="2567" t="s">
        <v>3043</v>
      </c>
      <c r="BP10" s="2568"/>
      <c r="BQ10" s="2569"/>
      <c r="BR10" s="983" t="b">
        <v>0</v>
      </c>
      <c r="BS10" s="984" t="b">
        <v>0</v>
      </c>
      <c r="BT10" s="2217"/>
      <c r="BU10" s="2220"/>
      <c r="BV10" s="977">
        <f>'[1]03 食事申込書'!DQ111</f>
        <v>0</v>
      </c>
      <c r="BW10" s="978">
        <f>'[1]03 食事申込書'!DS111</f>
        <v>0</v>
      </c>
      <c r="BX10" s="2193" t="s">
        <v>3074</v>
      </c>
      <c r="BY10" s="2194"/>
      <c r="BZ10" s="2194"/>
      <c r="CA10" s="599">
        <v>440</v>
      </c>
      <c r="CB10" s="974">
        <v>109</v>
      </c>
      <c r="CC10" s="2183">
        <v>99</v>
      </c>
      <c r="CD10" s="2145"/>
      <c r="CE10" s="2146"/>
      <c r="CF10" s="2145">
        <v>10</v>
      </c>
      <c r="CG10" s="2145"/>
      <c r="CH10" s="2146"/>
      <c r="CI10" s="2144"/>
      <c r="CJ10" s="2145"/>
      <c r="CK10" s="2146"/>
      <c r="CL10" s="2144"/>
      <c r="CM10" s="2145"/>
      <c r="CN10" s="2146"/>
      <c r="CO10" s="2144"/>
      <c r="CP10" s="2145"/>
      <c r="CQ10" s="2146"/>
      <c r="CR10" s="979"/>
      <c r="CS10" s="980"/>
      <c r="CT10" s="929">
        <f t="shared" si="0"/>
        <v>47960</v>
      </c>
      <c r="CU10" s="2456" t="s">
        <v>203</v>
      </c>
      <c r="CV10" s="2456"/>
      <c r="CW10" s="15"/>
      <c r="CX10" s="24" t="s">
        <v>204</v>
      </c>
      <c r="CY10" s="19">
        <v>750</v>
      </c>
      <c r="CZ10" s="26"/>
      <c r="DA10" s="21" t="s">
        <v>2815</v>
      </c>
      <c r="DB10" s="19">
        <v>200</v>
      </c>
    </row>
    <row r="11" spans="1:106" ht="27" customHeight="1">
      <c r="A11" s="2465"/>
      <c r="B11" s="2466"/>
      <c r="C11" s="2434" t="s">
        <v>212</v>
      </c>
      <c r="D11" s="2435"/>
      <c r="E11" s="2435"/>
      <c r="F11" s="2436"/>
      <c r="G11" s="2431"/>
      <c r="H11" s="2432"/>
      <c r="I11" s="2432"/>
      <c r="J11" s="2432"/>
      <c r="K11" s="2432"/>
      <c r="L11" s="2432"/>
      <c r="M11" s="2432"/>
      <c r="N11" s="2432"/>
      <c r="O11" s="2433"/>
      <c r="P11" s="2471" t="s">
        <v>3043</v>
      </c>
      <c r="Q11" s="2233"/>
      <c r="R11" s="2420" t="s">
        <v>3121</v>
      </c>
      <c r="S11" s="2421"/>
      <c r="T11" s="2475" t="s">
        <v>3122</v>
      </c>
      <c r="U11" s="2476"/>
      <c r="V11" s="1104" t="b">
        <v>0</v>
      </c>
      <c r="W11" s="2438"/>
      <c r="X11" s="2372"/>
      <c r="Y11" s="597">
        <f>'03 食事申込書'!BT112</f>
        <v>0</v>
      </c>
      <c r="Z11" s="598">
        <f>'03 食事申込書'!BV112</f>
        <v>0</v>
      </c>
      <c r="AA11" s="2392">
        <f>'03 食事申込書'!BW112</f>
        <v>0</v>
      </c>
      <c r="AB11" s="2393"/>
      <c r="AC11" s="2393"/>
      <c r="AD11" s="599">
        <f>IF(ISERROR(VLOOKUP(AA11,CX3:CY49,2,FALSE)),0,VLOOKUP(AA11,CX3:CY49,2,FALSE))</f>
        <v>0</v>
      </c>
      <c r="AE11" s="594">
        <f>'03 食事申込書'!BY112</f>
        <v>0</v>
      </c>
      <c r="AF11" s="2300"/>
      <c r="AG11" s="2026"/>
      <c r="AH11" s="2027"/>
      <c r="AI11" s="2025"/>
      <c r="AJ11" s="2026"/>
      <c r="AK11" s="2027"/>
      <c r="AL11" s="2025"/>
      <c r="AM11" s="2026"/>
      <c r="AN11" s="2027"/>
      <c r="AO11" s="2025"/>
      <c r="AP11" s="2026"/>
      <c r="AQ11" s="2027"/>
      <c r="AR11" s="2025"/>
      <c r="AS11" s="2026"/>
      <c r="AT11" s="2027"/>
      <c r="AU11" s="600"/>
      <c r="AV11" s="601"/>
      <c r="AW11" s="880">
        <f>IF('03 食事申込書'!BY112=AF11+AL11+AI11+AO11+AR11+AU11+AV11,AD11*AE11,"人数を再確認！")</f>
        <v>0</v>
      </c>
      <c r="AX11" s="2452"/>
      <c r="AY11" s="2453"/>
      <c r="AZ11" s="2200" t="s">
        <v>212</v>
      </c>
      <c r="BA11" s="2201"/>
      <c r="BB11" s="2201"/>
      <c r="BC11" s="2202"/>
      <c r="BD11" s="2206" t="s">
        <v>3075</v>
      </c>
      <c r="BE11" s="2207"/>
      <c r="BF11" s="2207"/>
      <c r="BG11" s="2207"/>
      <c r="BH11" s="2207"/>
      <c r="BI11" s="2207"/>
      <c r="BJ11" s="2207"/>
      <c r="BK11" s="2207"/>
      <c r="BL11" s="2207"/>
      <c r="BM11" s="2207"/>
      <c r="BN11" s="2208"/>
      <c r="BO11" s="2231" t="s">
        <v>3043</v>
      </c>
      <c r="BP11" s="2232"/>
      <c r="BQ11" s="2233"/>
      <c r="BR11" s="567" t="b">
        <v>0</v>
      </c>
      <c r="BS11" s="985" t="b">
        <v>0</v>
      </c>
      <c r="BT11" s="2217"/>
      <c r="BU11" s="2220"/>
      <c r="BV11" s="977">
        <f>'[1]03 食事申込書'!DQ112</f>
        <v>0</v>
      </c>
      <c r="BW11" s="978">
        <f>'[1]03 食事申込書'!DS112</f>
        <v>0</v>
      </c>
      <c r="BX11" s="2193" t="s">
        <v>3076</v>
      </c>
      <c r="BY11" s="2194"/>
      <c r="BZ11" s="2194"/>
      <c r="CA11" s="599">
        <v>440</v>
      </c>
      <c r="CB11" s="974">
        <v>1</v>
      </c>
      <c r="CC11" s="2183">
        <v>1</v>
      </c>
      <c r="CD11" s="2145"/>
      <c r="CE11" s="2146"/>
      <c r="CF11" s="2144"/>
      <c r="CG11" s="2145"/>
      <c r="CH11" s="2146"/>
      <c r="CI11" s="2144"/>
      <c r="CJ11" s="2145"/>
      <c r="CK11" s="2146"/>
      <c r="CL11" s="2144"/>
      <c r="CM11" s="2145"/>
      <c r="CN11" s="2146"/>
      <c r="CO11" s="2144"/>
      <c r="CP11" s="2145"/>
      <c r="CQ11" s="2146"/>
      <c r="CR11" s="979"/>
      <c r="CS11" s="980"/>
      <c r="CT11" s="929">
        <f t="shared" si="0"/>
        <v>440</v>
      </c>
      <c r="CU11" s="19"/>
      <c r="CV11" s="19"/>
      <c r="CW11" s="15"/>
      <c r="CX11" s="24" t="s">
        <v>207</v>
      </c>
      <c r="CY11" s="19">
        <v>520</v>
      </c>
      <c r="CZ11" s="25"/>
      <c r="DA11" s="21" t="s">
        <v>216</v>
      </c>
      <c r="DB11" s="19">
        <v>350</v>
      </c>
    </row>
    <row r="12" spans="1:106" ht="27" customHeight="1">
      <c r="A12" s="2465"/>
      <c r="B12" s="2466"/>
      <c r="C12" s="2434" t="s">
        <v>214</v>
      </c>
      <c r="D12" s="2435"/>
      <c r="E12" s="2435"/>
      <c r="F12" s="2436"/>
      <c r="G12" s="2431"/>
      <c r="H12" s="2432"/>
      <c r="I12" s="2432"/>
      <c r="J12" s="2432"/>
      <c r="K12" s="2432"/>
      <c r="L12" s="2432"/>
      <c r="M12" s="2432"/>
      <c r="N12" s="2432"/>
      <c r="O12" s="2433"/>
      <c r="P12" s="2471" t="s">
        <v>3043</v>
      </c>
      <c r="Q12" s="2233"/>
      <c r="R12" s="2422" t="s">
        <v>3121</v>
      </c>
      <c r="S12" s="2423"/>
      <c r="T12" s="2477" t="s">
        <v>3122</v>
      </c>
      <c r="U12" s="2478"/>
      <c r="V12" s="1104" t="b">
        <v>0</v>
      </c>
      <c r="W12" s="2438"/>
      <c r="X12" s="2372"/>
      <c r="Y12" s="597">
        <f>'03 食事申込書'!BT113</f>
        <v>0</v>
      </c>
      <c r="Z12" s="598">
        <f>'03 食事申込書'!BV113</f>
        <v>0</v>
      </c>
      <c r="AA12" s="2392">
        <f>'03 食事申込書'!BW113</f>
        <v>0</v>
      </c>
      <c r="AB12" s="2393"/>
      <c r="AC12" s="2393"/>
      <c r="AD12" s="602">
        <f>IF(ISERROR(VLOOKUP(AA12,CX3:CY49,2,FALSE)),0,VLOOKUP(AA12,CX3:CY49,2,FALSE))</f>
        <v>0</v>
      </c>
      <c r="AE12" s="594">
        <f>'03 食事申込書'!BY113</f>
        <v>0</v>
      </c>
      <c r="AF12" s="2300"/>
      <c r="AG12" s="2026"/>
      <c r="AH12" s="2027"/>
      <c r="AI12" s="2025"/>
      <c r="AJ12" s="2026"/>
      <c r="AK12" s="2027"/>
      <c r="AL12" s="2025"/>
      <c r="AM12" s="2026"/>
      <c r="AN12" s="2027"/>
      <c r="AO12" s="2025"/>
      <c r="AP12" s="2026"/>
      <c r="AQ12" s="2027"/>
      <c r="AR12" s="2025"/>
      <c r="AS12" s="2026"/>
      <c r="AT12" s="2027"/>
      <c r="AU12" s="600"/>
      <c r="AV12" s="601"/>
      <c r="AW12" s="880">
        <f>IF('03 食事申込書'!BY113=AF12+AL12+AI12+AO12+AR12+AU12+AV12,AD12*AE12,"人数を再確認！")</f>
        <v>0</v>
      </c>
      <c r="AX12" s="2452"/>
      <c r="AY12" s="2453"/>
      <c r="AZ12" s="2200" t="s">
        <v>214</v>
      </c>
      <c r="BA12" s="2201"/>
      <c r="BB12" s="2201"/>
      <c r="BC12" s="2202"/>
      <c r="BD12" s="2206" t="s">
        <v>3077</v>
      </c>
      <c r="BE12" s="2207"/>
      <c r="BF12" s="2207"/>
      <c r="BG12" s="2207"/>
      <c r="BH12" s="2207"/>
      <c r="BI12" s="2207"/>
      <c r="BJ12" s="2207"/>
      <c r="BK12" s="2207"/>
      <c r="BL12" s="2207"/>
      <c r="BM12" s="2207"/>
      <c r="BN12" s="2208"/>
      <c r="BO12" s="2231" t="s">
        <v>3043</v>
      </c>
      <c r="BP12" s="2232"/>
      <c r="BQ12" s="2233"/>
      <c r="BR12" s="567" t="b">
        <v>0</v>
      </c>
      <c r="BS12" s="985" t="b">
        <v>0</v>
      </c>
      <c r="BT12" s="2217"/>
      <c r="BU12" s="2220"/>
      <c r="BV12" s="977">
        <f>'[1]03 食事申込書'!DQ113</f>
        <v>0</v>
      </c>
      <c r="BW12" s="978">
        <f>'[1]03 食事申込書'!DS113</f>
        <v>0</v>
      </c>
      <c r="BX12" s="2193" t="s">
        <v>3078</v>
      </c>
      <c r="BY12" s="2194"/>
      <c r="BZ12" s="2194"/>
      <c r="CA12" s="602">
        <v>130</v>
      </c>
      <c r="CB12" s="974">
        <v>55</v>
      </c>
      <c r="CC12" s="2183">
        <v>50</v>
      </c>
      <c r="CD12" s="2145"/>
      <c r="CE12" s="2146"/>
      <c r="CF12" s="2144">
        <v>5</v>
      </c>
      <c r="CG12" s="2145"/>
      <c r="CH12" s="2146"/>
      <c r="CI12" s="2144"/>
      <c r="CJ12" s="2145"/>
      <c r="CK12" s="2146"/>
      <c r="CL12" s="2144"/>
      <c r="CM12" s="2145"/>
      <c r="CN12" s="2146"/>
      <c r="CO12" s="2144"/>
      <c r="CP12" s="2145"/>
      <c r="CQ12" s="2146"/>
      <c r="CR12" s="979"/>
      <c r="CS12" s="980"/>
      <c r="CT12" s="929">
        <f t="shared" si="0"/>
        <v>7150</v>
      </c>
      <c r="CU12" s="19" t="s">
        <v>52</v>
      </c>
      <c r="CV12" s="27">
        <v>2700</v>
      </c>
      <c r="CW12" s="15"/>
      <c r="CX12" s="24" t="s">
        <v>210</v>
      </c>
      <c r="CY12" s="19">
        <v>570</v>
      </c>
      <c r="CZ12" s="26"/>
      <c r="DA12" s="21" t="s">
        <v>219</v>
      </c>
      <c r="DB12" s="19">
        <v>550</v>
      </c>
    </row>
    <row r="13" spans="1:106" ht="27" customHeight="1">
      <c r="A13" s="2465"/>
      <c r="B13" s="2466"/>
      <c r="C13" s="2434" t="s">
        <v>217</v>
      </c>
      <c r="D13" s="2435"/>
      <c r="E13" s="2435"/>
      <c r="F13" s="2436"/>
      <c r="G13" s="2431"/>
      <c r="H13" s="2432"/>
      <c r="I13" s="2432"/>
      <c r="J13" s="2432"/>
      <c r="K13" s="2432"/>
      <c r="L13" s="2432"/>
      <c r="M13" s="2432"/>
      <c r="N13" s="2432"/>
      <c r="O13" s="2433"/>
      <c r="P13" s="2471" t="s">
        <v>3043</v>
      </c>
      <c r="Q13" s="2233"/>
      <c r="R13" s="2424" t="s">
        <v>3121</v>
      </c>
      <c r="S13" s="2425"/>
      <c r="T13" s="2475" t="s">
        <v>3122</v>
      </c>
      <c r="U13" s="2476"/>
      <c r="V13" s="1104" t="b">
        <v>0</v>
      </c>
      <c r="W13" s="2438"/>
      <c r="X13" s="2372"/>
      <c r="Y13" s="597">
        <f>'03 食事申込書'!BT114</f>
        <v>0</v>
      </c>
      <c r="Z13" s="598">
        <f>'03 食事申込書'!BV114</f>
        <v>0</v>
      </c>
      <c r="AA13" s="2392">
        <f>'03 食事申込書'!BW114</f>
        <v>0</v>
      </c>
      <c r="AB13" s="2393"/>
      <c r="AC13" s="2393"/>
      <c r="AD13" s="603">
        <f>IF(ISERROR(VLOOKUP(AA13,CX3:CY49,2,FALSE)),0,VLOOKUP(AA13,CX3:CY49,2,FALSE))</f>
        <v>0</v>
      </c>
      <c r="AE13" s="594">
        <f>'03 食事申込書'!BY114</f>
        <v>0</v>
      </c>
      <c r="AF13" s="2300"/>
      <c r="AG13" s="2026"/>
      <c r="AH13" s="2027"/>
      <c r="AI13" s="2025"/>
      <c r="AJ13" s="2026"/>
      <c r="AK13" s="2027"/>
      <c r="AL13" s="2025"/>
      <c r="AM13" s="2026"/>
      <c r="AN13" s="2027"/>
      <c r="AO13" s="2025"/>
      <c r="AP13" s="2026"/>
      <c r="AQ13" s="2027"/>
      <c r="AR13" s="2025"/>
      <c r="AS13" s="2026"/>
      <c r="AT13" s="2027"/>
      <c r="AU13" s="600"/>
      <c r="AV13" s="601"/>
      <c r="AW13" s="880">
        <f>IF('03 食事申込書'!BY114=AF13+AL13+AI13+AO13+AR13+AU13+AV13,AD13*AE13,"人数を再確認！")</f>
        <v>0</v>
      </c>
      <c r="AX13" s="2452"/>
      <c r="AY13" s="2453"/>
      <c r="AZ13" s="2200" t="s">
        <v>217</v>
      </c>
      <c r="BA13" s="2201"/>
      <c r="BB13" s="2201"/>
      <c r="BC13" s="2202"/>
      <c r="BD13" s="2206"/>
      <c r="BE13" s="2207"/>
      <c r="BF13" s="2207"/>
      <c r="BG13" s="2207"/>
      <c r="BH13" s="2207"/>
      <c r="BI13" s="2207"/>
      <c r="BJ13" s="2207"/>
      <c r="BK13" s="2207"/>
      <c r="BL13" s="2207"/>
      <c r="BM13" s="2207"/>
      <c r="BN13" s="2208"/>
      <c r="BO13" s="2231" t="s">
        <v>3043</v>
      </c>
      <c r="BP13" s="2232"/>
      <c r="BQ13" s="2233"/>
      <c r="BR13" s="567" t="b">
        <v>0</v>
      </c>
      <c r="BS13" s="985" t="b">
        <v>0</v>
      </c>
      <c r="BT13" s="2217"/>
      <c r="BU13" s="2220"/>
      <c r="BV13" s="977">
        <f>'[1]03 食事申込書'!DQ114</f>
        <v>0</v>
      </c>
      <c r="BW13" s="978">
        <f>'[1]03 食事申込書'!DS114</f>
        <v>0</v>
      </c>
      <c r="BX13" s="2193" t="s">
        <v>3079</v>
      </c>
      <c r="BY13" s="2194"/>
      <c r="BZ13" s="2194"/>
      <c r="CA13" s="603">
        <v>130</v>
      </c>
      <c r="CB13" s="974">
        <v>55</v>
      </c>
      <c r="CC13" s="2183">
        <v>50</v>
      </c>
      <c r="CD13" s="2145"/>
      <c r="CE13" s="2146"/>
      <c r="CF13" s="2144">
        <v>5</v>
      </c>
      <c r="CG13" s="2145"/>
      <c r="CH13" s="2146"/>
      <c r="CI13" s="2144"/>
      <c r="CJ13" s="2145"/>
      <c r="CK13" s="2146"/>
      <c r="CL13" s="2144"/>
      <c r="CM13" s="2145"/>
      <c r="CN13" s="2146"/>
      <c r="CO13" s="2144"/>
      <c r="CP13" s="2145"/>
      <c r="CQ13" s="2146"/>
      <c r="CR13" s="979"/>
      <c r="CS13" s="980"/>
      <c r="CT13" s="929">
        <f t="shared" si="0"/>
        <v>7150</v>
      </c>
      <c r="CU13" s="19" t="s">
        <v>53</v>
      </c>
      <c r="CV13" s="27">
        <v>4400</v>
      </c>
      <c r="CW13" s="15"/>
      <c r="CX13" s="24" t="s">
        <v>213</v>
      </c>
      <c r="CY13" s="19">
        <v>620</v>
      </c>
      <c r="CZ13" s="26"/>
      <c r="DA13" s="21" t="s">
        <v>2816</v>
      </c>
      <c r="DB13" s="19">
        <v>100</v>
      </c>
    </row>
    <row r="14" spans="1:106" ht="27" customHeight="1">
      <c r="A14" s="2465"/>
      <c r="B14" s="2466"/>
      <c r="C14" s="2434" t="s">
        <v>220</v>
      </c>
      <c r="D14" s="2435"/>
      <c r="E14" s="2435"/>
      <c r="F14" s="2436"/>
      <c r="G14" s="2431"/>
      <c r="H14" s="2432"/>
      <c r="I14" s="2432"/>
      <c r="J14" s="2432"/>
      <c r="K14" s="2432"/>
      <c r="L14" s="2432"/>
      <c r="M14" s="2432"/>
      <c r="N14" s="2432"/>
      <c r="O14" s="2433"/>
      <c r="P14" s="2471" t="s">
        <v>3043</v>
      </c>
      <c r="Q14" s="2233"/>
      <c r="R14" s="2424" t="s">
        <v>3121</v>
      </c>
      <c r="S14" s="2425"/>
      <c r="T14" s="2475" t="s">
        <v>3122</v>
      </c>
      <c r="U14" s="2476"/>
      <c r="V14" s="1104" t="b">
        <v>0</v>
      </c>
      <c r="W14" s="2438"/>
      <c r="X14" s="2372"/>
      <c r="Y14" s="597">
        <f>'03 食事申込書'!BT115</f>
        <v>0</v>
      </c>
      <c r="Z14" s="598">
        <f>'03 食事申込書'!BV115</f>
        <v>0</v>
      </c>
      <c r="AA14" s="2392">
        <f>'03 食事申込書'!BW115</f>
        <v>0</v>
      </c>
      <c r="AB14" s="2393"/>
      <c r="AC14" s="2393"/>
      <c r="AD14" s="603">
        <f>IF(ISERROR(VLOOKUP(AA14,CX3:CY49,2,FALSE)),0,VLOOKUP(AA14,CX3:CY49,2,FALSE))</f>
        <v>0</v>
      </c>
      <c r="AE14" s="594">
        <f>'03 食事申込書'!BY115</f>
        <v>0</v>
      </c>
      <c r="AF14" s="2300"/>
      <c r="AG14" s="2026"/>
      <c r="AH14" s="2027"/>
      <c r="AI14" s="2025"/>
      <c r="AJ14" s="2026"/>
      <c r="AK14" s="2027"/>
      <c r="AL14" s="2025"/>
      <c r="AM14" s="2026"/>
      <c r="AN14" s="2027"/>
      <c r="AO14" s="2025"/>
      <c r="AP14" s="2026"/>
      <c r="AQ14" s="2027"/>
      <c r="AR14" s="2025"/>
      <c r="AS14" s="2026"/>
      <c r="AT14" s="2027"/>
      <c r="AU14" s="600"/>
      <c r="AV14" s="601"/>
      <c r="AW14" s="880">
        <f>IF('03 食事申込書'!BY115=AF14+AL14+AI14+AO14+AR14+AU14+AV14,AD14*AE14,"人数を再確認！")</f>
        <v>0</v>
      </c>
      <c r="AX14" s="2452"/>
      <c r="AY14" s="2453"/>
      <c r="AZ14" s="2200" t="s">
        <v>220</v>
      </c>
      <c r="BA14" s="2201"/>
      <c r="BB14" s="2201"/>
      <c r="BC14" s="2202"/>
      <c r="BD14" s="2206"/>
      <c r="BE14" s="2207"/>
      <c r="BF14" s="2207"/>
      <c r="BG14" s="2207"/>
      <c r="BH14" s="2207"/>
      <c r="BI14" s="2207"/>
      <c r="BJ14" s="2207"/>
      <c r="BK14" s="2207"/>
      <c r="BL14" s="2207"/>
      <c r="BM14" s="2207"/>
      <c r="BN14" s="2208"/>
      <c r="BO14" s="2231" t="s">
        <v>3043</v>
      </c>
      <c r="BP14" s="2232"/>
      <c r="BQ14" s="2233"/>
      <c r="BR14" s="567" t="b">
        <v>0</v>
      </c>
      <c r="BS14" s="985" t="b">
        <v>0</v>
      </c>
      <c r="BT14" s="2217"/>
      <c r="BU14" s="2220"/>
      <c r="BV14" s="977">
        <f>'[1]03 食事申込書'!DQ115</f>
        <v>0</v>
      </c>
      <c r="BW14" s="978">
        <f>'[1]03 食事申込書'!DS115</f>
        <v>0</v>
      </c>
      <c r="BX14" s="2193">
        <f>'[1]03 食事申込書'!DT115</f>
        <v>0</v>
      </c>
      <c r="BY14" s="2194"/>
      <c r="BZ14" s="2194"/>
      <c r="CA14" s="603">
        <f>IF(ISERROR(VLOOKUP(BX14,EU3:EV49,2,FALSE)),0,VLOOKUP(BX14,EU3:EV49,2,FALSE))</f>
        <v>0</v>
      </c>
      <c r="CB14" s="974">
        <f>'[1]03 食事申込書'!DV115</f>
        <v>0</v>
      </c>
      <c r="CC14" s="2183"/>
      <c r="CD14" s="2145"/>
      <c r="CE14" s="2146"/>
      <c r="CF14" s="2144"/>
      <c r="CG14" s="2145"/>
      <c r="CH14" s="2146"/>
      <c r="CI14" s="2144"/>
      <c r="CJ14" s="2145"/>
      <c r="CK14" s="2146"/>
      <c r="CL14" s="2144"/>
      <c r="CM14" s="2145"/>
      <c r="CN14" s="2146"/>
      <c r="CO14" s="2144"/>
      <c r="CP14" s="2145"/>
      <c r="CQ14" s="2146"/>
      <c r="CR14" s="979"/>
      <c r="CS14" s="980"/>
      <c r="CT14" s="929">
        <f>IF('[1]03 食事申込書'!DV115=CC14+CI14+CF14+CL14+CO14+CR14+CS14,CA14*CB14,"人数を再確認！")</f>
        <v>0</v>
      </c>
      <c r="CU14" s="22"/>
      <c r="CV14" s="22"/>
      <c r="CW14" s="15"/>
      <c r="CX14" s="21" t="s">
        <v>215</v>
      </c>
      <c r="CY14" s="19"/>
      <c r="CZ14" s="26"/>
      <c r="DA14" s="363" t="s">
        <v>2950</v>
      </c>
      <c r="DB14" s="362">
        <v>400</v>
      </c>
    </row>
    <row r="15" spans="1:106" ht="27" customHeight="1">
      <c r="A15" s="2465"/>
      <c r="B15" s="2466"/>
      <c r="C15" s="2434" t="s">
        <v>1374</v>
      </c>
      <c r="D15" s="2435"/>
      <c r="E15" s="2435"/>
      <c r="F15" s="2436"/>
      <c r="G15" s="2431"/>
      <c r="H15" s="2432"/>
      <c r="I15" s="2432"/>
      <c r="J15" s="2432"/>
      <c r="K15" s="2432"/>
      <c r="L15" s="2432"/>
      <c r="M15" s="2432"/>
      <c r="N15" s="2432"/>
      <c r="O15" s="2433"/>
      <c r="P15" s="2471" t="s">
        <v>3043</v>
      </c>
      <c r="Q15" s="2233"/>
      <c r="R15" s="2424" t="s">
        <v>3121</v>
      </c>
      <c r="S15" s="2425"/>
      <c r="T15" s="2475" t="s">
        <v>3122</v>
      </c>
      <c r="U15" s="2476"/>
      <c r="V15" s="1104" t="b">
        <v>0</v>
      </c>
      <c r="W15" s="2438"/>
      <c r="X15" s="2372"/>
      <c r="Y15" s="597">
        <f>'03 食事申込書'!BT116</f>
        <v>0</v>
      </c>
      <c r="Z15" s="598">
        <f>'03 食事申込書'!BV116</f>
        <v>0</v>
      </c>
      <c r="AA15" s="2392">
        <f>'03 食事申込書'!BW116</f>
        <v>0</v>
      </c>
      <c r="AB15" s="2393"/>
      <c r="AC15" s="2393"/>
      <c r="AD15" s="599">
        <f>IF(ISERROR(VLOOKUP(AA15,CX3:CY49,2,FALSE)),0,VLOOKUP(AA15,CX3:CY49,2,FALSE))</f>
        <v>0</v>
      </c>
      <c r="AE15" s="594">
        <f>'03 食事申込書'!BY116</f>
        <v>0</v>
      </c>
      <c r="AF15" s="2300"/>
      <c r="AG15" s="2026"/>
      <c r="AH15" s="2027"/>
      <c r="AI15" s="2025"/>
      <c r="AJ15" s="2026"/>
      <c r="AK15" s="2027"/>
      <c r="AL15" s="2025"/>
      <c r="AM15" s="2026"/>
      <c r="AN15" s="2027"/>
      <c r="AO15" s="2025"/>
      <c r="AP15" s="2026"/>
      <c r="AQ15" s="2027"/>
      <c r="AR15" s="2025"/>
      <c r="AS15" s="2026"/>
      <c r="AT15" s="2027"/>
      <c r="AU15" s="600"/>
      <c r="AV15" s="601"/>
      <c r="AW15" s="880">
        <f>IF('03 食事申込書'!BY116=AF15+AL15+AI15+AO15+AR15+AU15+AV15,AD15*AE15,"人数を再確認！")</f>
        <v>0</v>
      </c>
      <c r="AX15" s="2452"/>
      <c r="AY15" s="2453"/>
      <c r="AZ15" s="2200" t="s">
        <v>1374</v>
      </c>
      <c r="BA15" s="2201"/>
      <c r="BB15" s="2201"/>
      <c r="BC15" s="2202"/>
      <c r="BD15" s="2203"/>
      <c r="BE15" s="2204"/>
      <c r="BF15" s="2204"/>
      <c r="BG15" s="2204"/>
      <c r="BH15" s="2204"/>
      <c r="BI15" s="2204"/>
      <c r="BJ15" s="2204"/>
      <c r="BK15" s="2204"/>
      <c r="BL15" s="2204"/>
      <c r="BM15" s="2204"/>
      <c r="BN15" s="2205"/>
      <c r="BO15" s="2231" t="s">
        <v>3043</v>
      </c>
      <c r="BP15" s="2232"/>
      <c r="BQ15" s="2233"/>
      <c r="BR15" s="567" t="b">
        <v>0</v>
      </c>
      <c r="BS15" s="985" t="b">
        <v>0</v>
      </c>
      <c r="BT15" s="2217"/>
      <c r="BU15" s="2220"/>
      <c r="BV15" s="977">
        <f>'[1]03 食事申込書'!DQ116</f>
        <v>0</v>
      </c>
      <c r="BW15" s="978">
        <f>'[1]03 食事申込書'!DS116</f>
        <v>0</v>
      </c>
      <c r="BX15" s="2193">
        <f>'[1]03 食事申込書'!DT116</f>
        <v>0</v>
      </c>
      <c r="BY15" s="2194"/>
      <c r="BZ15" s="2194"/>
      <c r="CA15" s="599">
        <f>IF(ISERROR(VLOOKUP(BX15,EU3:EV49,2,FALSE)),0,VLOOKUP(BX15,EU3:EV49,2,FALSE))</f>
        <v>0</v>
      </c>
      <c r="CB15" s="974">
        <f>'[1]03 食事申込書'!DV116</f>
        <v>0</v>
      </c>
      <c r="CC15" s="2183"/>
      <c r="CD15" s="2145"/>
      <c r="CE15" s="2146"/>
      <c r="CF15" s="2144"/>
      <c r="CG15" s="2145"/>
      <c r="CH15" s="2146"/>
      <c r="CI15" s="2144"/>
      <c r="CJ15" s="2145"/>
      <c r="CK15" s="2146"/>
      <c r="CL15" s="2144"/>
      <c r="CM15" s="2145"/>
      <c r="CN15" s="2146"/>
      <c r="CO15" s="2144"/>
      <c r="CP15" s="2145"/>
      <c r="CQ15" s="2146"/>
      <c r="CR15" s="979"/>
      <c r="CS15" s="980"/>
      <c r="CT15" s="929">
        <f>IF('[1]03 食事申込書'!DV116=CC15+CI15+CF15+CL15+CO15+CR15+CS15,CA15*CB15,"人数を再確認！")</f>
        <v>0</v>
      </c>
      <c r="CU15" s="28" t="s">
        <v>218</v>
      </c>
      <c r="CV15" s="29"/>
      <c r="CW15" s="15"/>
      <c r="CX15" s="24" t="s">
        <v>2886</v>
      </c>
      <c r="CY15" s="19">
        <v>530</v>
      </c>
      <c r="CZ15" s="25"/>
      <c r="DA15" s="363"/>
      <c r="DB15" s="362"/>
    </row>
    <row r="16" spans="1:106" ht="27" customHeight="1" thickBot="1">
      <c r="A16" s="2467"/>
      <c r="B16" s="2468"/>
      <c r="C16" s="2434" t="s">
        <v>1375</v>
      </c>
      <c r="D16" s="2435"/>
      <c r="E16" s="2435"/>
      <c r="F16" s="2436"/>
      <c r="G16" s="2479"/>
      <c r="H16" s="2480"/>
      <c r="I16" s="2480"/>
      <c r="J16" s="2480"/>
      <c r="K16" s="2480"/>
      <c r="L16" s="2480"/>
      <c r="M16" s="2480"/>
      <c r="N16" s="2480"/>
      <c r="O16" s="2481"/>
      <c r="P16" s="2472" t="s">
        <v>3043</v>
      </c>
      <c r="Q16" s="2236"/>
      <c r="R16" s="2426" t="s">
        <v>3121</v>
      </c>
      <c r="S16" s="2427"/>
      <c r="T16" s="2411" t="s">
        <v>3122</v>
      </c>
      <c r="U16" s="2412"/>
      <c r="V16" s="1104" t="b">
        <v>0</v>
      </c>
      <c r="W16" s="2438"/>
      <c r="X16" s="2372"/>
      <c r="Y16" s="597">
        <f>'03 食事申込書'!BT117</f>
        <v>0</v>
      </c>
      <c r="Z16" s="598">
        <f>'03 食事申込書'!BV117</f>
        <v>0</v>
      </c>
      <c r="AA16" s="2392">
        <f>'03 食事申込書'!BW117</f>
        <v>0</v>
      </c>
      <c r="AB16" s="2393"/>
      <c r="AC16" s="2393"/>
      <c r="AD16" s="602">
        <f>IF(ISERROR(VLOOKUP(AA16,CX3:CY49,2,FALSE)),0,VLOOKUP(AA16,CX3:CY49,2,FALSE))</f>
        <v>0</v>
      </c>
      <c r="AE16" s="594">
        <f>'03 食事申込書'!BY117</f>
        <v>0</v>
      </c>
      <c r="AF16" s="2300"/>
      <c r="AG16" s="2026"/>
      <c r="AH16" s="2027"/>
      <c r="AI16" s="2025"/>
      <c r="AJ16" s="2026"/>
      <c r="AK16" s="2027"/>
      <c r="AL16" s="2025"/>
      <c r="AM16" s="2026"/>
      <c r="AN16" s="2027"/>
      <c r="AO16" s="2025"/>
      <c r="AP16" s="2026"/>
      <c r="AQ16" s="2027"/>
      <c r="AR16" s="2025"/>
      <c r="AS16" s="2026"/>
      <c r="AT16" s="2027"/>
      <c r="AU16" s="600"/>
      <c r="AV16" s="601"/>
      <c r="AW16" s="880">
        <f>IF('03 食事申込書'!BY117=AF16+AL16+AI16+AO16+AR16+AU16+AV16,AD16*AE16,"人数を再確認！")</f>
        <v>0</v>
      </c>
      <c r="AX16" s="2454"/>
      <c r="AY16" s="2455"/>
      <c r="AZ16" s="2200" t="s">
        <v>1375</v>
      </c>
      <c r="BA16" s="2201"/>
      <c r="BB16" s="2201"/>
      <c r="BC16" s="2202"/>
      <c r="BD16" s="2271"/>
      <c r="BE16" s="2272"/>
      <c r="BF16" s="2272"/>
      <c r="BG16" s="2272"/>
      <c r="BH16" s="2272"/>
      <c r="BI16" s="2272"/>
      <c r="BJ16" s="2272"/>
      <c r="BK16" s="2272"/>
      <c r="BL16" s="2272"/>
      <c r="BM16" s="2272"/>
      <c r="BN16" s="2273"/>
      <c r="BO16" s="2234" t="s">
        <v>3043</v>
      </c>
      <c r="BP16" s="2235"/>
      <c r="BQ16" s="2236"/>
      <c r="BR16" s="568" t="b">
        <v>0</v>
      </c>
      <c r="BS16" s="985" t="b">
        <v>0</v>
      </c>
      <c r="BT16" s="2217"/>
      <c r="BU16" s="2220"/>
      <c r="BV16" s="977">
        <f>'[1]03 食事申込書'!DQ117</f>
        <v>0</v>
      </c>
      <c r="BW16" s="978">
        <f>'[1]03 食事申込書'!DS117</f>
        <v>0</v>
      </c>
      <c r="BX16" s="2193">
        <f>'[1]03 食事申込書'!DT117</f>
        <v>0</v>
      </c>
      <c r="BY16" s="2194"/>
      <c r="BZ16" s="2194"/>
      <c r="CA16" s="602">
        <f>IF(ISERROR(VLOOKUP(BX16,EU3:EV49,2,FALSE)),0,VLOOKUP(BX16,EU3:EV49,2,FALSE))</f>
        <v>0</v>
      </c>
      <c r="CB16" s="974">
        <f>'[1]03 食事申込書'!DV117</f>
        <v>0</v>
      </c>
      <c r="CC16" s="2183"/>
      <c r="CD16" s="2145"/>
      <c r="CE16" s="2146"/>
      <c r="CF16" s="2144"/>
      <c r="CG16" s="2145"/>
      <c r="CH16" s="2146"/>
      <c r="CI16" s="2144"/>
      <c r="CJ16" s="2145"/>
      <c r="CK16" s="2146"/>
      <c r="CL16" s="2144"/>
      <c r="CM16" s="2145"/>
      <c r="CN16" s="2146"/>
      <c r="CO16" s="2144"/>
      <c r="CP16" s="2145"/>
      <c r="CQ16" s="2146"/>
      <c r="CR16" s="979"/>
      <c r="CS16" s="980"/>
      <c r="CT16" s="929">
        <f>IF('[1]03 食事申込書'!DV117=CC16+CI16+CF16+CL16+CO16+CR16+CS16,CA16*CB16,"人数を再確認！")</f>
        <v>0</v>
      </c>
      <c r="CU16" s="22"/>
      <c r="CV16" s="30" t="s">
        <v>113</v>
      </c>
      <c r="CW16" s="15"/>
      <c r="CX16" s="24" t="s">
        <v>2887</v>
      </c>
      <c r="CY16" s="19">
        <v>590</v>
      </c>
      <c r="CZ16" s="26"/>
    </row>
    <row r="17" spans="1:106" ht="27" customHeight="1" thickTop="1">
      <c r="A17" s="2270" t="s">
        <v>1376</v>
      </c>
      <c r="B17" s="2270"/>
      <c r="C17" s="2270"/>
      <c r="D17" s="2270"/>
      <c r="E17" s="2270"/>
      <c r="F17" s="2270"/>
      <c r="G17" s="2270"/>
      <c r="H17" s="2270"/>
      <c r="I17" s="2270"/>
      <c r="J17" s="2270"/>
      <c r="K17" s="2270"/>
      <c r="L17" s="2270"/>
      <c r="M17" s="2270"/>
      <c r="N17" s="2270"/>
      <c r="O17" s="2270"/>
      <c r="P17" s="2270"/>
      <c r="Q17" s="2270"/>
      <c r="R17" s="2270"/>
      <c r="S17" s="2270"/>
      <c r="T17" s="2270"/>
      <c r="U17" s="2270"/>
      <c r="V17" s="214" t="b">
        <v>0</v>
      </c>
      <c r="W17" s="2438"/>
      <c r="X17" s="2372"/>
      <c r="Y17" s="597">
        <f>'03 食事申込書'!BT118</f>
        <v>0</v>
      </c>
      <c r="Z17" s="598">
        <f>'03 食事申込書'!BV118</f>
        <v>0</v>
      </c>
      <c r="AA17" s="2392">
        <f>'03 食事申込書'!BW118</f>
        <v>0</v>
      </c>
      <c r="AB17" s="2393"/>
      <c r="AC17" s="2393"/>
      <c r="AD17" s="603">
        <f>IF(ISERROR(VLOOKUP(AA17,CX3:CY49,2,FALSE)),0,VLOOKUP(AA17,CX3:CY49,2,FALSE))</f>
        <v>0</v>
      </c>
      <c r="AE17" s="594">
        <f>'03 食事申込書'!BY118</f>
        <v>0</v>
      </c>
      <c r="AF17" s="2300"/>
      <c r="AG17" s="2026"/>
      <c r="AH17" s="2027"/>
      <c r="AI17" s="2025"/>
      <c r="AJ17" s="2026"/>
      <c r="AK17" s="2027"/>
      <c r="AL17" s="2025"/>
      <c r="AM17" s="2026"/>
      <c r="AN17" s="2027"/>
      <c r="AO17" s="2025"/>
      <c r="AP17" s="2026"/>
      <c r="AQ17" s="2027"/>
      <c r="AR17" s="2025"/>
      <c r="AS17" s="2026"/>
      <c r="AT17" s="2027"/>
      <c r="AU17" s="600"/>
      <c r="AV17" s="601"/>
      <c r="AW17" s="880">
        <f>IF('03 食事申込書'!BY118=AF17+AL17+AI17+AO17+AR17+AU17+AV17,AD17*AE17,"人数を再確認！")</f>
        <v>0</v>
      </c>
      <c r="AX17" s="2270" t="s">
        <v>1376</v>
      </c>
      <c r="AY17" s="2270"/>
      <c r="AZ17" s="2270"/>
      <c r="BA17" s="2270"/>
      <c r="BB17" s="2270"/>
      <c r="BC17" s="2270"/>
      <c r="BD17" s="2270"/>
      <c r="BE17" s="2270"/>
      <c r="BF17" s="2270"/>
      <c r="BG17" s="2270"/>
      <c r="BH17" s="2270"/>
      <c r="BI17" s="2270"/>
      <c r="BJ17" s="2270"/>
      <c r="BK17" s="2270"/>
      <c r="BL17" s="2270"/>
      <c r="BM17" s="2270"/>
      <c r="BN17" s="2270"/>
      <c r="BO17" s="2270"/>
      <c r="BP17" s="2270"/>
      <c r="BQ17" s="2270"/>
      <c r="BR17" s="2270"/>
      <c r="BS17" s="957"/>
      <c r="BT17" s="2217"/>
      <c r="BU17" s="2220"/>
      <c r="BV17" s="977">
        <f>'[1]03 食事申込書'!DQ118</f>
        <v>0</v>
      </c>
      <c r="BW17" s="978">
        <f>'[1]03 食事申込書'!DS118</f>
        <v>0</v>
      </c>
      <c r="BX17" s="2193">
        <f>'[1]03 食事申込書'!DT118</f>
        <v>0</v>
      </c>
      <c r="BY17" s="2194"/>
      <c r="BZ17" s="2194"/>
      <c r="CA17" s="603">
        <f>IF(ISERROR(VLOOKUP(BX17,EU3:EV49,2,FALSE)),0,VLOOKUP(BX17,EU3:EV49,2,FALSE))</f>
        <v>0</v>
      </c>
      <c r="CB17" s="974">
        <f>'[1]03 食事申込書'!DV118</f>
        <v>0</v>
      </c>
      <c r="CC17" s="2183"/>
      <c r="CD17" s="2145"/>
      <c r="CE17" s="2146"/>
      <c r="CF17" s="2144"/>
      <c r="CG17" s="2145"/>
      <c r="CH17" s="2146"/>
      <c r="CI17" s="2144"/>
      <c r="CJ17" s="2145"/>
      <c r="CK17" s="2146"/>
      <c r="CL17" s="2144"/>
      <c r="CM17" s="2145"/>
      <c r="CN17" s="2146"/>
      <c r="CO17" s="2144"/>
      <c r="CP17" s="2145"/>
      <c r="CQ17" s="2146"/>
      <c r="CR17" s="979"/>
      <c r="CS17" s="980"/>
      <c r="CT17" s="929">
        <f>IF('[1]03 食事申込書'!DV118=CC17+CI17+CF17+CL17+CO17+CR17+CS17,CA17*CB17,"人数を再確認！")</f>
        <v>0</v>
      </c>
      <c r="CU17" s="15"/>
      <c r="CV17" s="30" t="s">
        <v>114</v>
      </c>
      <c r="CW17" s="15"/>
      <c r="CX17" s="24" t="s">
        <v>2907</v>
      </c>
      <c r="CY17" s="19">
        <v>640</v>
      </c>
      <c r="CZ17" s="26"/>
    </row>
    <row r="18" spans="1:106" ht="27" customHeight="1">
      <c r="A18" s="2270"/>
      <c r="B18" s="2270"/>
      <c r="C18" s="2270"/>
      <c r="D18" s="2270"/>
      <c r="E18" s="2270"/>
      <c r="F18" s="2270"/>
      <c r="G18" s="2270"/>
      <c r="H18" s="2270"/>
      <c r="I18" s="2270"/>
      <c r="J18" s="2270"/>
      <c r="K18" s="2270"/>
      <c r="L18" s="2270"/>
      <c r="M18" s="2270"/>
      <c r="N18" s="2270"/>
      <c r="O18" s="2270"/>
      <c r="P18" s="2270"/>
      <c r="Q18" s="2270"/>
      <c r="R18" s="2270"/>
      <c r="S18" s="2270"/>
      <c r="T18" s="2270"/>
      <c r="U18" s="2270"/>
      <c r="V18" s="214" t="b">
        <v>0</v>
      </c>
      <c r="W18" s="2438"/>
      <c r="X18" s="2372"/>
      <c r="Y18" s="597">
        <f>'03 食事申込書'!BT119</f>
        <v>0</v>
      </c>
      <c r="Z18" s="598">
        <f>'03 食事申込書'!BV119</f>
        <v>0</v>
      </c>
      <c r="AA18" s="2392">
        <f>'03 食事申込書'!BW119</f>
        <v>0</v>
      </c>
      <c r="AB18" s="2393"/>
      <c r="AC18" s="2393"/>
      <c r="AD18" s="603">
        <f>IF(ISERROR(VLOOKUP(AA18,CX3:CY49,2,FALSE)),0,VLOOKUP(AA18,CX3:CY49,2,FALSE))</f>
        <v>0</v>
      </c>
      <c r="AE18" s="594">
        <f>'03 食事申込書'!BY119</f>
        <v>0</v>
      </c>
      <c r="AF18" s="2300"/>
      <c r="AG18" s="2026"/>
      <c r="AH18" s="2027"/>
      <c r="AI18" s="2025"/>
      <c r="AJ18" s="2026"/>
      <c r="AK18" s="2027"/>
      <c r="AL18" s="2025"/>
      <c r="AM18" s="2026"/>
      <c r="AN18" s="2027"/>
      <c r="AO18" s="2025"/>
      <c r="AP18" s="2026"/>
      <c r="AQ18" s="2027"/>
      <c r="AR18" s="2025"/>
      <c r="AS18" s="2026"/>
      <c r="AT18" s="2027"/>
      <c r="AU18" s="600"/>
      <c r="AV18" s="601"/>
      <c r="AW18" s="880">
        <f>IF('03 食事申込書'!BY119=AF18+AL18+AI18+AO18+AR18+AU18+AV18,AD18*AE18,"人数を再確認！")</f>
        <v>0</v>
      </c>
      <c r="AX18" s="2270"/>
      <c r="AY18" s="2270"/>
      <c r="AZ18" s="2270"/>
      <c r="BA18" s="2270"/>
      <c r="BB18" s="2270"/>
      <c r="BC18" s="2270"/>
      <c r="BD18" s="2270"/>
      <c r="BE18" s="2270"/>
      <c r="BF18" s="2270"/>
      <c r="BG18" s="2270"/>
      <c r="BH18" s="2270"/>
      <c r="BI18" s="2270"/>
      <c r="BJ18" s="2270"/>
      <c r="BK18" s="2270"/>
      <c r="BL18" s="2270"/>
      <c r="BM18" s="2270"/>
      <c r="BN18" s="2270"/>
      <c r="BO18" s="2270"/>
      <c r="BP18" s="2270"/>
      <c r="BQ18" s="2270"/>
      <c r="BR18" s="2270"/>
      <c r="BS18" s="957"/>
      <c r="BT18" s="2217"/>
      <c r="BU18" s="2220"/>
      <c r="BV18" s="977">
        <f>'[1]03 食事申込書'!DQ119</f>
        <v>0</v>
      </c>
      <c r="BW18" s="978">
        <f>'[1]03 食事申込書'!DS119</f>
        <v>0</v>
      </c>
      <c r="BX18" s="2193">
        <f>'[1]03 食事申込書'!DT119</f>
        <v>0</v>
      </c>
      <c r="BY18" s="2194"/>
      <c r="BZ18" s="2194"/>
      <c r="CA18" s="603">
        <f>IF(ISERROR(VLOOKUP(BX18,EU3:EV49,2,FALSE)),0,VLOOKUP(BX18,EU3:EV49,2,FALSE))</f>
        <v>0</v>
      </c>
      <c r="CB18" s="974">
        <f>'[1]03 食事申込書'!DV119</f>
        <v>0</v>
      </c>
      <c r="CC18" s="2183"/>
      <c r="CD18" s="2145"/>
      <c r="CE18" s="2146"/>
      <c r="CF18" s="2144"/>
      <c r="CG18" s="2145"/>
      <c r="CH18" s="2146"/>
      <c r="CI18" s="2144"/>
      <c r="CJ18" s="2145"/>
      <c r="CK18" s="2146"/>
      <c r="CL18" s="2144"/>
      <c r="CM18" s="2145"/>
      <c r="CN18" s="2146"/>
      <c r="CO18" s="2144"/>
      <c r="CP18" s="2145"/>
      <c r="CQ18" s="2146"/>
      <c r="CR18" s="979"/>
      <c r="CS18" s="980"/>
      <c r="CT18" s="929">
        <f>IF('[1]03 食事申込書'!DV119=CC18+CI18+CF18+CL18+CO18+CR18+CS18,CA18*CB18,"人数を再確認！")</f>
        <v>0</v>
      </c>
      <c r="CU18" s="15"/>
      <c r="CV18" s="30" t="s">
        <v>115</v>
      </c>
      <c r="CW18" s="15"/>
      <c r="CX18" s="24" t="s">
        <v>2889</v>
      </c>
      <c r="CY18" s="19">
        <v>630</v>
      </c>
      <c r="CZ18" s="26"/>
    </row>
    <row r="19" spans="1:106" ht="27" customHeight="1">
      <c r="A19" s="2270"/>
      <c r="B19" s="2270"/>
      <c r="C19" s="2270"/>
      <c r="D19" s="2270"/>
      <c r="E19" s="2270"/>
      <c r="F19" s="2270"/>
      <c r="G19" s="2270"/>
      <c r="H19" s="2270"/>
      <c r="I19" s="2270"/>
      <c r="J19" s="2270"/>
      <c r="K19" s="2270"/>
      <c r="L19" s="2270"/>
      <c r="M19" s="2270"/>
      <c r="N19" s="2270"/>
      <c r="O19" s="2270"/>
      <c r="P19" s="2270"/>
      <c r="Q19" s="2270"/>
      <c r="R19" s="2270"/>
      <c r="S19" s="2270"/>
      <c r="T19" s="2270"/>
      <c r="U19" s="2270"/>
      <c r="V19" s="35"/>
      <c r="W19" s="2438"/>
      <c r="X19" s="2372"/>
      <c r="Y19" s="597">
        <f>'03 食事申込書'!BT120</f>
        <v>0</v>
      </c>
      <c r="Z19" s="598">
        <f>'03 食事申込書'!BV120</f>
        <v>0</v>
      </c>
      <c r="AA19" s="2392">
        <f>'03 食事申込書'!BW120</f>
        <v>0</v>
      </c>
      <c r="AB19" s="2393"/>
      <c r="AC19" s="2393"/>
      <c r="AD19" s="599">
        <f>IF(ISERROR(VLOOKUP(AA19,CX3:CY49,2,FALSE)),0,VLOOKUP(AA19,CX3:CY49,2,FALSE))</f>
        <v>0</v>
      </c>
      <c r="AE19" s="594">
        <f>'03 食事申込書'!BY120</f>
        <v>0</v>
      </c>
      <c r="AF19" s="2300"/>
      <c r="AG19" s="2026"/>
      <c r="AH19" s="2027"/>
      <c r="AI19" s="2025"/>
      <c r="AJ19" s="2026"/>
      <c r="AK19" s="2027"/>
      <c r="AL19" s="2025"/>
      <c r="AM19" s="2026"/>
      <c r="AN19" s="2027"/>
      <c r="AO19" s="2025"/>
      <c r="AP19" s="2026"/>
      <c r="AQ19" s="2027"/>
      <c r="AR19" s="2025"/>
      <c r="AS19" s="2026"/>
      <c r="AT19" s="2027"/>
      <c r="AU19" s="600"/>
      <c r="AV19" s="601"/>
      <c r="AW19" s="880">
        <f>IF('03 食事申込書'!BY120=AF19+AL19+AI19+AO19+AR19+AU19+AV19,AD19*AE19,"人数を再確認！")</f>
        <v>0</v>
      </c>
      <c r="AX19" s="2270"/>
      <c r="AY19" s="2270"/>
      <c r="AZ19" s="2270"/>
      <c r="BA19" s="2270"/>
      <c r="BB19" s="2270"/>
      <c r="BC19" s="2270"/>
      <c r="BD19" s="2270"/>
      <c r="BE19" s="2270"/>
      <c r="BF19" s="2270"/>
      <c r="BG19" s="2270"/>
      <c r="BH19" s="2270"/>
      <c r="BI19" s="2270"/>
      <c r="BJ19" s="2270"/>
      <c r="BK19" s="2270"/>
      <c r="BL19" s="2270"/>
      <c r="BM19" s="2270"/>
      <c r="BN19" s="2270"/>
      <c r="BO19" s="2270"/>
      <c r="BP19" s="2270"/>
      <c r="BQ19" s="2270"/>
      <c r="BR19" s="2270"/>
      <c r="BS19" s="957"/>
      <c r="BT19" s="2217"/>
      <c r="BU19" s="2220"/>
      <c r="BV19" s="977">
        <f>'[1]03 食事申込書'!DQ120</f>
        <v>0</v>
      </c>
      <c r="BW19" s="978">
        <f>'[1]03 食事申込書'!DS120</f>
        <v>0</v>
      </c>
      <c r="BX19" s="2193">
        <f>'[1]03 食事申込書'!DT120</f>
        <v>0</v>
      </c>
      <c r="BY19" s="2194"/>
      <c r="BZ19" s="2194"/>
      <c r="CA19" s="599">
        <f>IF(ISERROR(VLOOKUP(BX19,EU3:EV49,2,FALSE)),0,VLOOKUP(BX19,EU3:EV49,2,FALSE))</f>
        <v>0</v>
      </c>
      <c r="CB19" s="974">
        <f>'[1]03 食事申込書'!DV120</f>
        <v>0</v>
      </c>
      <c r="CC19" s="2183"/>
      <c r="CD19" s="2145"/>
      <c r="CE19" s="2146"/>
      <c r="CF19" s="2144"/>
      <c r="CG19" s="2145"/>
      <c r="CH19" s="2146"/>
      <c r="CI19" s="2144"/>
      <c r="CJ19" s="2145"/>
      <c r="CK19" s="2146"/>
      <c r="CL19" s="2144"/>
      <c r="CM19" s="2145"/>
      <c r="CN19" s="2146"/>
      <c r="CO19" s="2144"/>
      <c r="CP19" s="2145"/>
      <c r="CQ19" s="2146"/>
      <c r="CR19" s="979"/>
      <c r="CS19" s="980"/>
      <c r="CT19" s="929">
        <f>IF('[1]03 食事申込書'!DV120=CC19+CI19+CF19+CL19+CO19+CR19+CS19,CA19*CB19,"人数を再確認！")</f>
        <v>0</v>
      </c>
      <c r="CU19" s="899" t="s">
        <v>3038</v>
      </c>
      <c r="CV19" s="900">
        <v>0</v>
      </c>
      <c r="CW19" s="15"/>
      <c r="CX19" s="24" t="s">
        <v>2890</v>
      </c>
      <c r="CY19" s="19">
        <v>700</v>
      </c>
      <c r="CZ19" s="25"/>
    </row>
    <row r="20" spans="1:106" ht="27" customHeight="1" thickBot="1">
      <c r="A20" s="2270"/>
      <c r="B20" s="2270"/>
      <c r="C20" s="2270"/>
      <c r="D20" s="2270"/>
      <c r="E20" s="2270"/>
      <c r="F20" s="2270"/>
      <c r="G20" s="2270"/>
      <c r="H20" s="2270"/>
      <c r="I20" s="2270"/>
      <c r="J20" s="2270"/>
      <c r="K20" s="2270"/>
      <c r="L20" s="2270"/>
      <c r="M20" s="2270"/>
      <c r="N20" s="2270"/>
      <c r="O20" s="2270"/>
      <c r="P20" s="2270"/>
      <c r="Q20" s="2270"/>
      <c r="R20" s="2270"/>
      <c r="S20" s="2270"/>
      <c r="T20" s="2270"/>
      <c r="U20" s="2270"/>
      <c r="V20" s="35"/>
      <c r="W20" s="2438"/>
      <c r="X20" s="2372"/>
      <c r="Y20" s="604">
        <f>'03 食事申込書'!BT121</f>
        <v>0</v>
      </c>
      <c r="Z20" s="605">
        <f>'03 食事申込書'!BV121</f>
        <v>0</v>
      </c>
      <c r="AA20" s="2406">
        <f>'03 食事申込書'!BW121</f>
        <v>0</v>
      </c>
      <c r="AB20" s="2407"/>
      <c r="AC20" s="2407"/>
      <c r="AD20" s="606">
        <f>IF(ISERROR(VLOOKUP(AA20,CX3:CY49,2,FALSE)),0,VLOOKUP(AA20,CX3:CY49,2,FALSE))</f>
        <v>0</v>
      </c>
      <c r="AE20" s="607">
        <f>'03 食事申込書'!BY121</f>
        <v>0</v>
      </c>
      <c r="AF20" s="2300"/>
      <c r="AG20" s="2026"/>
      <c r="AH20" s="2027"/>
      <c r="AI20" s="2025"/>
      <c r="AJ20" s="2026"/>
      <c r="AK20" s="2027"/>
      <c r="AL20" s="2025"/>
      <c r="AM20" s="2026"/>
      <c r="AN20" s="2027"/>
      <c r="AO20" s="2025"/>
      <c r="AP20" s="2026"/>
      <c r="AQ20" s="2027"/>
      <c r="AR20" s="2025"/>
      <c r="AS20" s="2026"/>
      <c r="AT20" s="2027"/>
      <c r="AU20" s="600"/>
      <c r="AV20" s="601"/>
      <c r="AW20" s="919">
        <f>IF('03 食事申込書'!BY121=AF20+AL20+AI20+AO20+AR20+AU20+AV20,AD20*AE20,"人数を再確認！")</f>
        <v>0</v>
      </c>
      <c r="AX20" s="2270"/>
      <c r="AY20" s="2270"/>
      <c r="AZ20" s="2270"/>
      <c r="BA20" s="2270"/>
      <c r="BB20" s="2270"/>
      <c r="BC20" s="2270"/>
      <c r="BD20" s="2270"/>
      <c r="BE20" s="2270"/>
      <c r="BF20" s="2270"/>
      <c r="BG20" s="2270"/>
      <c r="BH20" s="2270"/>
      <c r="BI20" s="2270"/>
      <c r="BJ20" s="2270"/>
      <c r="BK20" s="2270"/>
      <c r="BL20" s="2270"/>
      <c r="BM20" s="2270"/>
      <c r="BN20" s="2270"/>
      <c r="BO20" s="2270"/>
      <c r="BP20" s="2270"/>
      <c r="BQ20" s="2270"/>
      <c r="BR20" s="2270"/>
      <c r="BS20" s="957"/>
      <c r="BT20" s="2217"/>
      <c r="BU20" s="2220"/>
      <c r="BV20" s="986">
        <f>'[1]03 食事申込書'!DQ121</f>
        <v>0</v>
      </c>
      <c r="BW20" s="987">
        <f>'[1]03 食事申込書'!DS121</f>
        <v>0</v>
      </c>
      <c r="BX20" s="2195">
        <f>'[1]03 食事申込書'!DT121</f>
        <v>0</v>
      </c>
      <c r="BY20" s="2196"/>
      <c r="BZ20" s="2196"/>
      <c r="CA20" s="606">
        <f>IF(ISERROR(VLOOKUP(BX20,EU3:EV49,2,FALSE)),0,VLOOKUP(BX20,EU3:EV49,2,FALSE))</f>
        <v>0</v>
      </c>
      <c r="CB20" s="988">
        <f>'[1]03 食事申込書'!DV121</f>
        <v>0</v>
      </c>
      <c r="CC20" s="2183"/>
      <c r="CD20" s="2145"/>
      <c r="CE20" s="2146"/>
      <c r="CF20" s="2144"/>
      <c r="CG20" s="2145"/>
      <c r="CH20" s="2146"/>
      <c r="CI20" s="2144"/>
      <c r="CJ20" s="2145"/>
      <c r="CK20" s="2146"/>
      <c r="CL20" s="2144"/>
      <c r="CM20" s="2145"/>
      <c r="CN20" s="2146"/>
      <c r="CO20" s="2144"/>
      <c r="CP20" s="2145"/>
      <c r="CQ20" s="2146"/>
      <c r="CR20" s="979"/>
      <c r="CS20" s="980"/>
      <c r="CT20" s="954">
        <f>IF('[1]03 食事申込書'!DV121=CC20+CI20+CF20+CL20+CO20+CR20+CS20,CA20*CB20,"人数を再確認！")</f>
        <v>0</v>
      </c>
      <c r="CU20" s="469" t="s">
        <v>3034</v>
      </c>
      <c r="CV20" s="901">
        <v>290</v>
      </c>
      <c r="CW20" s="15"/>
      <c r="CX20" s="24" t="s">
        <v>2891</v>
      </c>
      <c r="CY20" s="19">
        <v>750</v>
      </c>
      <c r="CZ20" s="26"/>
    </row>
    <row r="21" spans="1:106" ht="27" customHeight="1" thickTop="1" thickBot="1">
      <c r="A21" s="2343" t="s">
        <v>1391</v>
      </c>
      <c r="B21" s="2396" t="s">
        <v>221</v>
      </c>
      <c r="C21" s="2397"/>
      <c r="D21" s="2397"/>
      <c r="E21" s="2397"/>
      <c r="F21" s="2397"/>
      <c r="G21" s="2366"/>
      <c r="H21" s="569" t="s">
        <v>179</v>
      </c>
      <c r="I21" s="2401" t="s">
        <v>180</v>
      </c>
      <c r="J21" s="2403" t="s">
        <v>1379</v>
      </c>
      <c r="K21" s="2404"/>
      <c r="L21" s="570" t="s">
        <v>1378</v>
      </c>
      <c r="M21" s="571" t="s">
        <v>1377</v>
      </c>
      <c r="N21" s="572" t="s">
        <v>222</v>
      </c>
      <c r="O21" s="572" t="s">
        <v>1380</v>
      </c>
      <c r="P21" s="2390" t="s">
        <v>1381</v>
      </c>
      <c r="Q21" s="2391"/>
      <c r="R21" s="2390" t="s">
        <v>1382</v>
      </c>
      <c r="S21" s="2391"/>
      <c r="T21" s="2248" t="s">
        <v>181</v>
      </c>
      <c r="U21" s="2249"/>
      <c r="V21" s="35"/>
      <c r="W21" s="2438"/>
      <c r="X21" s="2373"/>
      <c r="Y21" s="2408" t="s">
        <v>1390</v>
      </c>
      <c r="Z21" s="2409"/>
      <c r="AA21" s="2409"/>
      <c r="AB21" s="2409"/>
      <c r="AC21" s="2409"/>
      <c r="AD21" s="2409"/>
      <c r="AE21" s="2410"/>
      <c r="AF21" s="2071">
        <f>AF5*AD5+AF6*AD6+AF7*AD7+AF8*AD8+AF9*AD9+AF10*AD10+AF11*AD11+AF12*AD12+AF13*AD13+AF14*AD14+AF15*AD15+AF16*AD16+AF17*AD17+AF18*AD18+AF19*AD19+AF20*AD20</f>
        <v>0</v>
      </c>
      <c r="AG21" s="2072"/>
      <c r="AH21" s="2073"/>
      <c r="AI21" s="2071">
        <f>AI5*AD5+AI6*AD6+AI7*AD7+AI8*AD8+AI9*AD9+AI10*AD10+AI11*AD11+AI12*AD12+AI13*AD13+AI14*AD14+AI15*AD15+AI16*AD16+AI17*AD17+AI18*AD18+AI19*AD19+AI20*AD20</f>
        <v>0</v>
      </c>
      <c r="AJ21" s="2072"/>
      <c r="AK21" s="2073"/>
      <c r="AL21" s="2071">
        <f>AL5*$AD$5+AL6*$AD$6+AL7*$AD$7+AL8*$AD$8+AL9*$AD$9+AL10*$AD$10+AL11*$AD$11+AL12*$AD$12+AL13*$AD$13+AL14*$AD$14+AL15*$AD$15+AL16*$AD$16+AL17*$AD$17+AL18*$AD$18+AL19*$AD$19+AL20*$AD$20</f>
        <v>0</v>
      </c>
      <c r="AM21" s="2072"/>
      <c r="AN21" s="2073"/>
      <c r="AO21" s="2071">
        <f t="shared" ref="AO21" si="1">AO5*$AD$5+AO6*$AD$6+AO7*$AD$7+AO8*$AD$8+AO9*$AD$9+AO10*$AD$10+AO11*$AD$11+AO12*$AD$12+AO13*$AD$13+AO14*$AD$14+AO15*$AD$15+AO16*$AD$16+AO17*$AD$17+AO18*$AD$18+AO19*$AD$19+AO20*$AD$20</f>
        <v>0</v>
      </c>
      <c r="AP21" s="2072"/>
      <c r="AQ21" s="2073"/>
      <c r="AR21" s="2071">
        <f t="shared" ref="AR21" si="2">AR5*$AD$5+AR6*$AD$6+AR7*$AD$7+AR8*$AD$8+AR9*$AD$9+AR10*$AD$10+AR11*$AD$11+AR12*$AD$12+AR13*$AD$13+AR14*$AD$14+AR15*$AD$15+AR16*$AD$16+AR17*$AD$17+AR18*$AD$18+AR19*$AD$19+AR20*$AD$20</f>
        <v>0</v>
      </c>
      <c r="AS21" s="2072"/>
      <c r="AT21" s="2073"/>
      <c r="AU21" s="608">
        <f>AU5*$AD$5+AU6*$AD$6+AU7*$AD$7+AU8*$AD$8+AU9*$AD$9+AU10*$AD$10+AU11*$AD$11+AU12*$AD$12+AU13*$AD$13+AU14*$AD$14+AU15*$AD$15+AU16*$AD$16+AU17*$AD$17+AU18*$AD$18+AU19*$AD$19+AU20*$AD$20</f>
        <v>0</v>
      </c>
      <c r="AV21" s="608">
        <f>AV5*$AD$5+AV6*$AD$6+AV7*$AD$7+AV8*$AD$8+AV9*$AD$9+AV10*$AD$10+AV11*$AD$11+AV12*$AD$12+AV13*$AD$13+AV14*$AD$14+AV15*$AD$15+AV16*$AD$16+AV17*$AD$17+AV18*$AD$18+AV19*$AD$19+AV20*$AD$20</f>
        <v>0</v>
      </c>
      <c r="AW21" s="737">
        <f>IF(COUNTIF(AW5:AW20,"人数を再確認！"),"人数を再確認！",SUM(AW5:AW20))</f>
        <v>0</v>
      </c>
      <c r="AX21" s="2577" t="s">
        <v>1391</v>
      </c>
      <c r="AY21" s="2190" t="s">
        <v>221</v>
      </c>
      <c r="AZ21" s="1695"/>
      <c r="BA21" s="1695"/>
      <c r="BB21" s="1695"/>
      <c r="BC21" s="1695"/>
      <c r="BD21" s="2159"/>
      <c r="BE21" s="989" t="s">
        <v>179</v>
      </c>
      <c r="BF21" s="2242" t="s">
        <v>180</v>
      </c>
      <c r="BG21" s="2244" t="s">
        <v>1379</v>
      </c>
      <c r="BH21" s="2245"/>
      <c r="BI21" s="990" t="s">
        <v>1378</v>
      </c>
      <c r="BJ21" s="991" t="s">
        <v>1377</v>
      </c>
      <c r="BK21" s="992" t="s">
        <v>222</v>
      </c>
      <c r="BL21" s="992" t="s">
        <v>1380</v>
      </c>
      <c r="BM21" s="2246" t="s">
        <v>1381</v>
      </c>
      <c r="BN21" s="2247"/>
      <c r="BO21" s="2246" t="s">
        <v>1382</v>
      </c>
      <c r="BP21" s="2247"/>
      <c r="BQ21" s="2248" t="s">
        <v>181</v>
      </c>
      <c r="BR21" s="2249"/>
      <c r="BS21" s="957"/>
      <c r="BT21" s="2217"/>
      <c r="BU21" s="2221"/>
      <c r="BV21" s="2222" t="s">
        <v>1390</v>
      </c>
      <c r="BW21" s="2223"/>
      <c r="BX21" s="2223"/>
      <c r="BY21" s="2223"/>
      <c r="BZ21" s="2223"/>
      <c r="CA21" s="2223"/>
      <c r="CB21" s="2224"/>
      <c r="CC21" s="2071">
        <f>CC5*CA5+CC6*CA6+CC7*CA7+CC8*CA8+CC9*CA9+CC10*CA10+CC11*CA11+CC12*CA12+CC13*CA13+CC14*CA14+CC15*CA15+CC16*CA16+CC17*CA17+CC18*CA18+CC19*CA19+CC20*CA20</f>
        <v>234000</v>
      </c>
      <c r="CD21" s="2072"/>
      <c r="CE21" s="2073"/>
      <c r="CF21" s="2071">
        <f>CF5*CA5+CF6*CA6+CF7*CA7+CF8*CA8+CF9*CA9+CF10*CA10+CF11*CA11+CF12*CA12+CF13*CA13+CF14*CA14+CF15*CA15+CF16*CA16+CF17*CA17+CF18*CA18+CF19*CA19+CF20*CA20</f>
        <v>24400</v>
      </c>
      <c r="CG21" s="2072"/>
      <c r="CH21" s="2073"/>
      <c r="CI21" s="2071">
        <f>CI5*$AD$5+CI6*$AD$6+CI7*$AD$7+CI8*$AD$8+CI9*$AD$9+CI10*$AD$10+CI11*$AD$11+CI12*$AD$12+CI13*$AD$13+CI14*$AD$14+CI15*$AD$15+CI16*$AD$16+CI17*$AD$17+CI18*$AD$18+CI19*$AD$19+CI20*$AD$20</f>
        <v>0</v>
      </c>
      <c r="CJ21" s="2072"/>
      <c r="CK21" s="2073"/>
      <c r="CL21" s="2071">
        <f t="shared" ref="CL21" si="3">CL5*$AD$5+CL6*$AD$6+CL7*$AD$7+CL8*$AD$8+CL9*$AD$9+CL10*$AD$10+CL11*$AD$11+CL12*$AD$12+CL13*$AD$13+CL14*$AD$14+CL15*$AD$15+CL16*$AD$16+CL17*$AD$17+CL18*$AD$18+CL19*$AD$19+CL20*$AD$20</f>
        <v>0</v>
      </c>
      <c r="CM21" s="2072"/>
      <c r="CN21" s="2073"/>
      <c r="CO21" s="2071">
        <f t="shared" ref="CO21" si="4">CO5*$AD$5+CO6*$AD$6+CO7*$AD$7+CO8*$AD$8+CO9*$AD$9+CO10*$AD$10+CO11*$AD$11+CO12*$AD$12+CO13*$AD$13+CO14*$AD$14+CO15*$AD$15+CO16*$AD$16+CO17*$AD$17+CO18*$AD$18+CO19*$AD$19+CO20*$AD$20</f>
        <v>0</v>
      </c>
      <c r="CP21" s="2072"/>
      <c r="CQ21" s="2073"/>
      <c r="CR21" s="608">
        <f>CR5*$AD$5+CR6*$AD$6+CR7*$AD$7+CR8*$AD$8+CR9*$AD$9+CR10*$AD$10+CR11*$AD$11+CR12*$AD$12+CR13*$AD$13+CR14*$AD$14+CR15*$AD$15+CR16*$AD$16+CR17*$AD$17+CR18*$AD$18+CR19*$AD$19+CR20*$AD$20</f>
        <v>0</v>
      </c>
      <c r="CS21" s="608">
        <f>CS5*$AD$5+CS6*$AD$6+CS7*$AD$7+CS8*$AD$8+CS9*$AD$9+CS10*$AD$10+CS11*$AD$11+CS12*$AD$12+CS13*$AD$13+CS14*$AD$14+CS15*$AD$15+CS16*$AD$16+CS17*$AD$17+CS18*$AD$18+CS19*$AD$19+CS20*$AD$20</f>
        <v>0</v>
      </c>
      <c r="CT21" s="737">
        <f>IF(COUNTIF(CT5:CT20,"人数を再確認！"),"人数を再確認！",SUM(CT5:CT20))</f>
        <v>258900</v>
      </c>
      <c r="CU21" s="902" t="s">
        <v>3035</v>
      </c>
      <c r="CV21" s="901">
        <v>450</v>
      </c>
      <c r="CW21" s="15"/>
      <c r="CX21" s="24" t="s">
        <v>2892</v>
      </c>
      <c r="CY21" s="19">
        <v>520</v>
      </c>
      <c r="CZ21" s="26"/>
    </row>
    <row r="22" spans="1:106" ht="27" customHeight="1" thickTop="1" thickBot="1">
      <c r="A22" s="2344"/>
      <c r="B22" s="2398"/>
      <c r="C22" s="2399"/>
      <c r="D22" s="2399"/>
      <c r="E22" s="2399"/>
      <c r="F22" s="2399"/>
      <c r="G22" s="2400"/>
      <c r="H22" s="573" t="s">
        <v>189</v>
      </c>
      <c r="I22" s="2402"/>
      <c r="J22" s="2366" t="s">
        <v>223</v>
      </c>
      <c r="K22" s="2367"/>
      <c r="L22" s="569" t="s">
        <v>190</v>
      </c>
      <c r="M22" s="569" t="s">
        <v>1383</v>
      </c>
      <c r="N22" s="569" t="s">
        <v>225</v>
      </c>
      <c r="O22" s="569" t="s">
        <v>190</v>
      </c>
      <c r="P22" s="2367" t="s">
        <v>224</v>
      </c>
      <c r="Q22" s="2367"/>
      <c r="R22" s="2367" t="s">
        <v>226</v>
      </c>
      <c r="S22" s="2367"/>
      <c r="T22" s="2229" t="s">
        <v>192</v>
      </c>
      <c r="U22" s="2230"/>
      <c r="V22" s="35"/>
      <c r="W22" s="2438"/>
      <c r="X22" s="2374" t="s">
        <v>228</v>
      </c>
      <c r="Y22" s="2368" t="s">
        <v>229</v>
      </c>
      <c r="Z22" s="2369"/>
      <c r="AA22" s="2369"/>
      <c r="AB22" s="2369"/>
      <c r="AC22" s="2370"/>
      <c r="AD22" s="624">
        <v>280</v>
      </c>
      <c r="AE22" s="609">
        <f>I37</f>
        <v>0</v>
      </c>
      <c r="AF22" s="2394"/>
      <c r="AG22" s="2023"/>
      <c r="AH22" s="2024"/>
      <c r="AI22" s="2022"/>
      <c r="AJ22" s="2023"/>
      <c r="AK22" s="2024"/>
      <c r="AL22" s="2022"/>
      <c r="AM22" s="2023"/>
      <c r="AN22" s="2024"/>
      <c r="AO22" s="2255"/>
      <c r="AP22" s="2256"/>
      <c r="AQ22" s="2257"/>
      <c r="AR22" s="2022"/>
      <c r="AS22" s="2023"/>
      <c r="AT22" s="2024"/>
      <c r="AU22" s="730"/>
      <c r="AV22" s="596"/>
      <c r="AW22" s="880">
        <f>IF(AE22=AF22+AI22+AR22+AL22+AO22+AU22+AV22,AE22*AD22,"数量を再確認！")</f>
        <v>0</v>
      </c>
      <c r="AX22" s="2578"/>
      <c r="AY22" s="2191"/>
      <c r="AZ22" s="1698"/>
      <c r="BA22" s="1698"/>
      <c r="BB22" s="1698"/>
      <c r="BC22" s="1698"/>
      <c r="BD22" s="2192"/>
      <c r="BE22" s="993" t="s">
        <v>189</v>
      </c>
      <c r="BF22" s="2243"/>
      <c r="BG22" s="2159" t="s">
        <v>190</v>
      </c>
      <c r="BH22" s="2160"/>
      <c r="BI22" s="989" t="s">
        <v>190</v>
      </c>
      <c r="BJ22" s="989" t="s">
        <v>1383</v>
      </c>
      <c r="BK22" s="989" t="s">
        <v>190</v>
      </c>
      <c r="BL22" s="989" t="s">
        <v>190</v>
      </c>
      <c r="BM22" s="2160" t="s">
        <v>190</v>
      </c>
      <c r="BN22" s="2160"/>
      <c r="BO22" s="2160" t="s">
        <v>190</v>
      </c>
      <c r="BP22" s="2160"/>
      <c r="BQ22" s="2229" t="s">
        <v>192</v>
      </c>
      <c r="BR22" s="2230"/>
      <c r="BS22" s="957"/>
      <c r="BT22" s="2217"/>
      <c r="BU22" s="2237" t="s">
        <v>228</v>
      </c>
      <c r="BV22" s="2239" t="s">
        <v>229</v>
      </c>
      <c r="BW22" s="2240"/>
      <c r="BX22" s="2240"/>
      <c r="BY22" s="2240"/>
      <c r="BZ22" s="2241"/>
      <c r="CA22" s="624">
        <v>280</v>
      </c>
      <c r="CB22" s="994">
        <f>SUM(CC22:CS22)</f>
        <v>110</v>
      </c>
      <c r="CC22" s="2150">
        <v>100</v>
      </c>
      <c r="CD22" s="2151"/>
      <c r="CE22" s="2152"/>
      <c r="CF22" s="2153">
        <v>10</v>
      </c>
      <c r="CG22" s="2151"/>
      <c r="CH22" s="2152"/>
      <c r="CI22" s="2153"/>
      <c r="CJ22" s="2151"/>
      <c r="CK22" s="2152"/>
      <c r="CL22" s="2161"/>
      <c r="CM22" s="2162"/>
      <c r="CN22" s="2163"/>
      <c r="CO22" s="2153"/>
      <c r="CP22" s="2151"/>
      <c r="CQ22" s="2152"/>
      <c r="CR22" s="995"/>
      <c r="CS22" s="976"/>
      <c r="CT22" s="929">
        <f>IF(CB22=CC22+CF22+CO22+CI22+CL22+CR22+CS22,CB22*CA22,"数量を再確認！")</f>
        <v>30800</v>
      </c>
      <c r="CU22" s="902" t="s">
        <v>3039</v>
      </c>
      <c r="CV22" s="901">
        <v>350</v>
      </c>
      <c r="CW22" s="15"/>
      <c r="CX22" s="24" t="s">
        <v>2893</v>
      </c>
      <c r="CY22" s="19">
        <v>570</v>
      </c>
      <c r="CZ22" s="26"/>
      <c r="DA22" s="31"/>
      <c r="DB22" s="32"/>
    </row>
    <row r="23" spans="1:106" ht="27" customHeight="1" thickTop="1" thickBot="1">
      <c r="A23" s="2344"/>
      <c r="B23" s="2387" t="s">
        <v>227</v>
      </c>
      <c r="C23" s="2167" t="s">
        <v>241</v>
      </c>
      <c r="D23" s="2168"/>
      <c r="E23" s="2168"/>
      <c r="F23" s="2168"/>
      <c r="G23" s="2169"/>
      <c r="H23" s="940" t="s">
        <v>3048</v>
      </c>
      <c r="I23" s="801">
        <f t="shared" ref="I23:I28" si="5">SUM(J23:S23)</f>
        <v>0</v>
      </c>
      <c r="J23" s="2395"/>
      <c r="K23" s="2363"/>
      <c r="L23" s="889"/>
      <c r="M23" s="889"/>
      <c r="N23" s="889"/>
      <c r="O23" s="889"/>
      <c r="P23" s="2363"/>
      <c r="Q23" s="2363"/>
      <c r="R23" s="2363"/>
      <c r="S23" s="2405"/>
      <c r="T23" s="2181" t="str">
        <f>IF(I23=J23+L23+M23+N23+O23+P23+R23,"無料","人数を再確認！")</f>
        <v>無料</v>
      </c>
      <c r="U23" s="2182"/>
      <c r="V23" s="35"/>
      <c r="W23" s="2438"/>
      <c r="X23" s="2374"/>
      <c r="Y23" s="2360" t="s">
        <v>211</v>
      </c>
      <c r="Z23" s="2361"/>
      <c r="AA23" s="2361"/>
      <c r="AB23" s="2361"/>
      <c r="AC23" s="2362"/>
      <c r="AD23" s="625">
        <f>IF(ISERROR(VLOOKUP(Y23,DA3:DB15,2,FALSE)),0,VLOOKUP(Y23,DA3:DB15,2,FALSE))</f>
        <v>400</v>
      </c>
      <c r="AE23" s="610">
        <f>SUM(AF23:AV23)</f>
        <v>0</v>
      </c>
      <c r="AF23" s="2300"/>
      <c r="AG23" s="2026"/>
      <c r="AH23" s="2027"/>
      <c r="AI23" s="2025"/>
      <c r="AJ23" s="2026"/>
      <c r="AK23" s="2027"/>
      <c r="AL23" s="2025"/>
      <c r="AM23" s="2026"/>
      <c r="AN23" s="2027"/>
      <c r="AO23" s="2025"/>
      <c r="AP23" s="2026"/>
      <c r="AQ23" s="2027"/>
      <c r="AR23" s="2025"/>
      <c r="AS23" s="2026"/>
      <c r="AT23" s="2027"/>
      <c r="AU23" s="731"/>
      <c r="AV23" s="601"/>
      <c r="AW23" s="880">
        <f>IF(AE23=AF23+AI23+AR23+AL23+AO23+AU23+AV23,AE23*AD23,"数量を再確認！")</f>
        <v>0</v>
      </c>
      <c r="AX23" s="2578"/>
      <c r="AY23" s="2164" t="s">
        <v>227</v>
      </c>
      <c r="AZ23" s="2167" t="s">
        <v>241</v>
      </c>
      <c r="BA23" s="2168"/>
      <c r="BB23" s="2168"/>
      <c r="BC23" s="2168"/>
      <c r="BD23" s="2169"/>
      <c r="BE23" s="940" t="s">
        <v>3048</v>
      </c>
      <c r="BF23" s="996">
        <f t="shared" ref="BF23:BF28" si="6">SUM(BG23:BP23)</f>
        <v>99</v>
      </c>
      <c r="BG23" s="2170">
        <v>99</v>
      </c>
      <c r="BH23" s="2171"/>
      <c r="BI23" s="997"/>
      <c r="BJ23" s="997"/>
      <c r="BK23" s="997"/>
      <c r="BL23" s="997"/>
      <c r="BM23" s="2179"/>
      <c r="BN23" s="2179"/>
      <c r="BO23" s="2179"/>
      <c r="BP23" s="2180"/>
      <c r="BQ23" s="2181" t="str">
        <f>IF(BF23=BG23+BI23+BJ23+BK23+BL23+BM23+BO23,"無料","人数を再確認！")</f>
        <v>無料</v>
      </c>
      <c r="BR23" s="2182"/>
      <c r="BS23" s="957"/>
      <c r="BT23" s="2217"/>
      <c r="BU23" s="2237"/>
      <c r="BV23" s="2129" t="s">
        <v>211</v>
      </c>
      <c r="BW23" s="2130"/>
      <c r="BX23" s="2130"/>
      <c r="BY23" s="2130"/>
      <c r="BZ23" s="2131"/>
      <c r="CA23" s="625">
        <f>IF(ISERROR(VLOOKUP(BV23,EX3:EY15,2,FALSE)),0,VLOOKUP(BV23,EX3:EY15,2,FALSE))</f>
        <v>0</v>
      </c>
      <c r="CB23" s="998">
        <f>SUM(CC23:CS23)</f>
        <v>0</v>
      </c>
      <c r="CC23" s="2183"/>
      <c r="CD23" s="2145"/>
      <c r="CE23" s="2146"/>
      <c r="CF23" s="2144"/>
      <c r="CG23" s="2145"/>
      <c r="CH23" s="2146"/>
      <c r="CI23" s="2144"/>
      <c r="CJ23" s="2145"/>
      <c r="CK23" s="2146"/>
      <c r="CL23" s="2144"/>
      <c r="CM23" s="2145"/>
      <c r="CN23" s="2146"/>
      <c r="CO23" s="2144"/>
      <c r="CP23" s="2145"/>
      <c r="CQ23" s="2146"/>
      <c r="CR23" s="999"/>
      <c r="CS23" s="980"/>
      <c r="CT23" s="929">
        <f>IF(CB23=CC23+CF23+CO23+CI23+CL23+CR23+CS23,CB23*CA23,"数量を再確認！")</f>
        <v>0</v>
      </c>
      <c r="CU23" s="902" t="s">
        <v>3040</v>
      </c>
      <c r="CV23" s="901">
        <v>500</v>
      </c>
      <c r="CW23" s="15"/>
      <c r="CX23" s="24" t="s">
        <v>2894</v>
      </c>
      <c r="CY23" s="19">
        <v>620</v>
      </c>
      <c r="CZ23" s="26"/>
      <c r="DA23" s="31"/>
      <c r="DB23" s="32"/>
    </row>
    <row r="24" spans="1:106" ht="27" customHeight="1" thickBot="1">
      <c r="A24" s="2344"/>
      <c r="B24" s="2388"/>
      <c r="C24" s="2172" t="s">
        <v>3034</v>
      </c>
      <c r="D24" s="2173"/>
      <c r="E24" s="2173"/>
      <c r="F24" s="2173"/>
      <c r="G24" s="2174"/>
      <c r="H24" s="944">
        <f>IF(C24="","",VLOOKUP(C24,$CU$19:$CV$23,2,FALSE))</f>
        <v>290</v>
      </c>
      <c r="I24" s="574">
        <f t="shared" si="5"/>
        <v>0</v>
      </c>
      <c r="J24" s="2357"/>
      <c r="K24" s="2358"/>
      <c r="L24" s="890"/>
      <c r="M24" s="890"/>
      <c r="N24" s="890"/>
      <c r="O24" s="890"/>
      <c r="P24" s="2358"/>
      <c r="Q24" s="2358"/>
      <c r="R24" s="2358"/>
      <c r="S24" s="2359"/>
      <c r="T24" s="2132">
        <f>IF(I24=J24+L24+M24+N24+O24+P24+R24,I24*H24,"人数を再確認！")</f>
        <v>0</v>
      </c>
      <c r="U24" s="2133"/>
      <c r="V24" s="35"/>
      <c r="W24" s="2438"/>
      <c r="X24" s="2374"/>
      <c r="Y24" s="2360" t="s">
        <v>510</v>
      </c>
      <c r="Z24" s="2361"/>
      <c r="AA24" s="2361"/>
      <c r="AB24" s="2361"/>
      <c r="AC24" s="2362"/>
      <c r="AD24" s="625">
        <f>IF(ISERROR(VLOOKUP(Y24,DA3:DB15,2,FALSE)),0,VLOOKUP(Y24,DA3:DB15,2,FALSE))</f>
        <v>0</v>
      </c>
      <c r="AE24" s="613">
        <f>SUM(AF24:AV24)</f>
        <v>0</v>
      </c>
      <c r="AF24" s="2300"/>
      <c r="AG24" s="2026"/>
      <c r="AH24" s="2027"/>
      <c r="AI24" s="2025"/>
      <c r="AJ24" s="2026"/>
      <c r="AK24" s="2027"/>
      <c r="AL24" s="2025"/>
      <c r="AM24" s="2026"/>
      <c r="AN24" s="2027"/>
      <c r="AO24" s="2280"/>
      <c r="AP24" s="2281"/>
      <c r="AQ24" s="2282"/>
      <c r="AR24" s="2025"/>
      <c r="AS24" s="2026"/>
      <c r="AT24" s="2027"/>
      <c r="AU24" s="731"/>
      <c r="AV24" s="601"/>
      <c r="AW24" s="880">
        <f>IF(AE24=AF24+AI24+AR24+AL24+AO24+AU24+AV24,AE24*AD24,"数量を再確認！")</f>
        <v>0</v>
      </c>
      <c r="AX24" s="2578"/>
      <c r="AY24" s="2165"/>
      <c r="AZ24" s="2172" t="s">
        <v>3034</v>
      </c>
      <c r="BA24" s="2173"/>
      <c r="BB24" s="2173"/>
      <c r="BC24" s="2173"/>
      <c r="BD24" s="2174"/>
      <c r="BE24" s="1000">
        <f>IF(AZ24="","",VLOOKUP(AZ24,$CU$19:$CV$23,2,FALSE))</f>
        <v>290</v>
      </c>
      <c r="BF24" s="1001">
        <f t="shared" si="6"/>
        <v>29</v>
      </c>
      <c r="BG24" s="2175"/>
      <c r="BH24" s="2176"/>
      <c r="BI24" s="1002">
        <v>9</v>
      </c>
      <c r="BJ24" s="1002">
        <v>20</v>
      </c>
      <c r="BK24" s="1002"/>
      <c r="BL24" s="1002"/>
      <c r="BM24" s="2177"/>
      <c r="BN24" s="2177"/>
      <c r="BO24" s="2177"/>
      <c r="BP24" s="2178"/>
      <c r="BQ24" s="2132">
        <f>IF(BF24=BG24+BI24+BJ24+BK24+BL24+BM24+BO24,BF24*BE24,"人数を再確認！")</f>
        <v>8410</v>
      </c>
      <c r="BR24" s="2133"/>
      <c r="BS24" s="957"/>
      <c r="BT24" s="2217"/>
      <c r="BU24" s="2237"/>
      <c r="BV24" s="2129" t="s">
        <v>510</v>
      </c>
      <c r="BW24" s="2130"/>
      <c r="BX24" s="2130"/>
      <c r="BY24" s="2130"/>
      <c r="BZ24" s="2131"/>
      <c r="CA24" s="625">
        <f>IF(ISERROR(VLOOKUP(BV24,EX3:EY15,2,FALSE)),0,VLOOKUP(BV24,EX3:EY15,2,FALSE))</f>
        <v>0</v>
      </c>
      <c r="CB24" s="1003">
        <f>SUM(CC24:CS24)</f>
        <v>0</v>
      </c>
      <c r="CC24" s="2183"/>
      <c r="CD24" s="2145"/>
      <c r="CE24" s="2146"/>
      <c r="CF24" s="2144"/>
      <c r="CG24" s="2145"/>
      <c r="CH24" s="2146"/>
      <c r="CI24" s="2144"/>
      <c r="CJ24" s="2145"/>
      <c r="CK24" s="2146"/>
      <c r="CL24" s="2147"/>
      <c r="CM24" s="2148"/>
      <c r="CN24" s="2149"/>
      <c r="CO24" s="2144"/>
      <c r="CP24" s="2145"/>
      <c r="CQ24" s="2146"/>
      <c r="CR24" s="999"/>
      <c r="CS24" s="980"/>
      <c r="CT24" s="929">
        <f>IF(CB24=CC24+CF24+CO24+CI24+CL24+CR24+CS24,CB24*CA24,"数量を再確認！")</f>
        <v>0</v>
      </c>
      <c r="CU24" s="899" t="s">
        <v>3041</v>
      </c>
      <c r="CV24" s="900">
        <v>0</v>
      </c>
      <c r="CW24" s="15"/>
      <c r="CX24" s="21" t="s">
        <v>230</v>
      </c>
      <c r="CY24" s="19"/>
      <c r="CZ24" s="26"/>
      <c r="DA24" s="31"/>
      <c r="DB24" s="32"/>
    </row>
    <row r="25" spans="1:106" ht="27" customHeight="1" thickBot="1">
      <c r="A25" s="2344"/>
      <c r="B25" s="2388"/>
      <c r="C25" s="2172" t="s">
        <v>3038</v>
      </c>
      <c r="D25" s="2173"/>
      <c r="E25" s="2173"/>
      <c r="F25" s="2173"/>
      <c r="G25" s="2174"/>
      <c r="H25" s="944">
        <f t="shared" ref="H25" si="7">IF(C25="","",VLOOKUP(C25,$CU$19:$CV$23,2,FALSE))</f>
        <v>0</v>
      </c>
      <c r="I25" s="574">
        <f t="shared" si="5"/>
        <v>0</v>
      </c>
      <c r="J25" s="2357"/>
      <c r="K25" s="2358"/>
      <c r="L25" s="890"/>
      <c r="M25" s="890"/>
      <c r="N25" s="890"/>
      <c r="O25" s="890"/>
      <c r="P25" s="2358"/>
      <c r="Q25" s="2358"/>
      <c r="R25" s="2358"/>
      <c r="S25" s="2359"/>
      <c r="T25" s="2132">
        <f>IF(I25=J25+L25+M25+N25+O25+P25+R25,I25*H25,"人数を再確認！")</f>
        <v>0</v>
      </c>
      <c r="U25" s="2133"/>
      <c r="V25" s="35"/>
      <c r="W25" s="2438"/>
      <c r="X25" s="2374"/>
      <c r="Y25" s="2301" t="s">
        <v>2951</v>
      </c>
      <c r="Z25" s="2302"/>
      <c r="AA25" s="2302"/>
      <c r="AB25" s="2302"/>
      <c r="AC25" s="2303"/>
      <c r="AD25" s="2123">
        <v>350</v>
      </c>
      <c r="AE25" s="2365">
        <f>SUM(AF25:AV25)</f>
        <v>0</v>
      </c>
      <c r="AF25" s="2364"/>
      <c r="AG25" s="1993"/>
      <c r="AH25" s="1994"/>
      <c r="AI25" s="1992"/>
      <c r="AJ25" s="1993"/>
      <c r="AK25" s="1994"/>
      <c r="AL25" s="1992"/>
      <c r="AM25" s="1993"/>
      <c r="AN25" s="1994"/>
      <c r="AO25" s="1992"/>
      <c r="AP25" s="1993"/>
      <c r="AQ25" s="1994"/>
      <c r="AR25" s="1992"/>
      <c r="AS25" s="1993"/>
      <c r="AT25" s="1994"/>
      <c r="AU25" s="1990"/>
      <c r="AV25" s="1989"/>
      <c r="AW25" s="2258">
        <f>IF(AE25=AF25+AI25+AR25+AL25+AO25+AU25+AV25,AE25*AD25,"数量を再確認！")</f>
        <v>0</v>
      </c>
      <c r="AX25" s="2578"/>
      <c r="AY25" s="2165"/>
      <c r="AZ25" s="2172" t="s">
        <v>3038</v>
      </c>
      <c r="BA25" s="2173"/>
      <c r="BB25" s="2173"/>
      <c r="BC25" s="2173"/>
      <c r="BD25" s="2174"/>
      <c r="BE25" s="1000">
        <f>IF(AZ25="","",VLOOKUP(AZ25,$CU$19:$CV$23,2,FALSE))</f>
        <v>0</v>
      </c>
      <c r="BF25" s="1001">
        <f t="shared" si="6"/>
        <v>0</v>
      </c>
      <c r="BG25" s="2175"/>
      <c r="BH25" s="2176"/>
      <c r="BI25" s="1002"/>
      <c r="BJ25" s="1002"/>
      <c r="BK25" s="1002"/>
      <c r="BL25" s="1002"/>
      <c r="BM25" s="2177"/>
      <c r="BN25" s="2177"/>
      <c r="BO25" s="2177"/>
      <c r="BP25" s="2178"/>
      <c r="BQ25" s="2132">
        <f>IF(BF25=BG25+BI25+BJ25+BK25+BL25+BM25+BO25,BF25*BE25,"人数を再確認！")</f>
        <v>0</v>
      </c>
      <c r="BR25" s="2133"/>
      <c r="BS25" s="957"/>
      <c r="BT25" s="2217"/>
      <c r="BU25" s="2237"/>
      <c r="BV25" s="2109" t="s">
        <v>2951</v>
      </c>
      <c r="BW25" s="2110"/>
      <c r="BX25" s="2110"/>
      <c r="BY25" s="2110"/>
      <c r="BZ25" s="2111"/>
      <c r="CA25" s="2123">
        <v>350</v>
      </c>
      <c r="CB25" s="2157">
        <f>SUM(CC25:CS25)</f>
        <v>0</v>
      </c>
      <c r="CC25" s="2158"/>
      <c r="CD25" s="2155"/>
      <c r="CE25" s="2156"/>
      <c r="CF25" s="2154"/>
      <c r="CG25" s="2155"/>
      <c r="CH25" s="2156"/>
      <c r="CI25" s="2154"/>
      <c r="CJ25" s="2155"/>
      <c r="CK25" s="2156"/>
      <c r="CL25" s="2154"/>
      <c r="CM25" s="2155"/>
      <c r="CN25" s="2156"/>
      <c r="CO25" s="2154"/>
      <c r="CP25" s="2155"/>
      <c r="CQ25" s="2156"/>
      <c r="CR25" s="2574"/>
      <c r="CS25" s="2575"/>
      <c r="CT25" s="2258">
        <f>IF(CB25=CC25+CF25+CO25+CI25+CL25+CR25+CS25,CB25*CA25,"数量を再確認！")</f>
        <v>0</v>
      </c>
      <c r="CU25" s="899" t="s">
        <v>3036</v>
      </c>
      <c r="CV25" s="900">
        <v>210</v>
      </c>
      <c r="CW25" s="15"/>
      <c r="CX25" s="24" t="s">
        <v>231</v>
      </c>
      <c r="CY25" s="19">
        <f>CY15-100</f>
        <v>430</v>
      </c>
      <c r="CZ25" s="26"/>
      <c r="DA25" s="31"/>
      <c r="DB25" s="32"/>
    </row>
    <row r="26" spans="1:106" ht="27" customHeight="1" thickBot="1">
      <c r="A26" s="2344"/>
      <c r="B26" s="2388"/>
      <c r="C26" s="2184" t="s">
        <v>3041</v>
      </c>
      <c r="D26" s="2185"/>
      <c r="E26" s="2185"/>
      <c r="F26" s="2185"/>
      <c r="G26" s="2186"/>
      <c r="H26" s="944">
        <f>IF(C26="","",VLOOKUP(C26,$CU$24:$CV$26,2,FALSE))</f>
        <v>0</v>
      </c>
      <c r="I26" s="574">
        <f t="shared" si="5"/>
        <v>0</v>
      </c>
      <c r="J26" s="2379"/>
      <c r="K26" s="2380"/>
      <c r="L26" s="903"/>
      <c r="M26" s="903"/>
      <c r="N26" s="903"/>
      <c r="O26" s="903"/>
      <c r="P26" s="2380"/>
      <c r="Q26" s="2380"/>
      <c r="R26" s="2380"/>
      <c r="S26" s="2381"/>
      <c r="T26" s="2132">
        <f t="shared" ref="T26:T27" si="8">IF(I26=J26+L26+M26+N26+O26+P26+R26,I26*H26,"人数を再確認！")</f>
        <v>0</v>
      </c>
      <c r="U26" s="2133"/>
      <c r="V26" s="35"/>
      <c r="W26" s="2438"/>
      <c r="X26" s="2374"/>
      <c r="Y26" s="2383" t="s">
        <v>2952</v>
      </c>
      <c r="Z26" s="2384"/>
      <c r="AA26" s="2384"/>
      <c r="AB26" s="2384"/>
      <c r="AC26" s="2385"/>
      <c r="AD26" s="2124"/>
      <c r="AE26" s="2287"/>
      <c r="AF26" s="2299"/>
      <c r="AG26" s="1996"/>
      <c r="AH26" s="1997"/>
      <c r="AI26" s="1995"/>
      <c r="AJ26" s="1996"/>
      <c r="AK26" s="1997"/>
      <c r="AL26" s="1995"/>
      <c r="AM26" s="1996"/>
      <c r="AN26" s="1997"/>
      <c r="AO26" s="1995"/>
      <c r="AP26" s="1996"/>
      <c r="AQ26" s="1997"/>
      <c r="AR26" s="1995"/>
      <c r="AS26" s="1996"/>
      <c r="AT26" s="1997"/>
      <c r="AU26" s="1991"/>
      <c r="AV26" s="1981"/>
      <c r="AW26" s="2259"/>
      <c r="AX26" s="2578"/>
      <c r="AY26" s="2165"/>
      <c r="AZ26" s="2184" t="s">
        <v>3041</v>
      </c>
      <c r="BA26" s="2185"/>
      <c r="BB26" s="2185"/>
      <c r="BC26" s="2185"/>
      <c r="BD26" s="2186"/>
      <c r="BE26" s="1000">
        <f>IF(AZ26="","",VLOOKUP(AZ26,$CU$24:$CV$26,2,FALSE))</f>
        <v>0</v>
      </c>
      <c r="BF26" s="1001">
        <f t="shared" si="6"/>
        <v>0</v>
      </c>
      <c r="BG26" s="2175"/>
      <c r="BH26" s="2176"/>
      <c r="BI26" s="1004"/>
      <c r="BJ26" s="1004"/>
      <c r="BK26" s="1004"/>
      <c r="BL26" s="1004"/>
      <c r="BM26" s="2250"/>
      <c r="BN26" s="2250"/>
      <c r="BO26" s="2250"/>
      <c r="BP26" s="2251"/>
      <c r="BQ26" s="2132">
        <f t="shared" ref="BQ26:BQ27" si="9">IF(BF26=BG26+BI26+BJ26+BK26+BL26+BM26+BO26,BF26*BE26,"人数を再確認！")</f>
        <v>0</v>
      </c>
      <c r="BR26" s="2133"/>
      <c r="BS26" s="957"/>
      <c r="BT26" s="2217"/>
      <c r="BU26" s="2237"/>
      <c r="BV26" s="2095" t="s">
        <v>2952</v>
      </c>
      <c r="BW26" s="2096"/>
      <c r="BX26" s="2096"/>
      <c r="BY26" s="2096"/>
      <c r="BZ26" s="2097"/>
      <c r="CA26" s="2124"/>
      <c r="CB26" s="2099"/>
      <c r="CC26" s="2101"/>
      <c r="CD26" s="2087"/>
      <c r="CE26" s="2088"/>
      <c r="CF26" s="2086"/>
      <c r="CG26" s="2087"/>
      <c r="CH26" s="2088"/>
      <c r="CI26" s="2086"/>
      <c r="CJ26" s="2087"/>
      <c r="CK26" s="2088"/>
      <c r="CL26" s="2086"/>
      <c r="CM26" s="2087"/>
      <c r="CN26" s="2088"/>
      <c r="CO26" s="2086"/>
      <c r="CP26" s="2087"/>
      <c r="CQ26" s="2088"/>
      <c r="CR26" s="2560"/>
      <c r="CS26" s="2562"/>
      <c r="CT26" s="2259"/>
      <c r="CU26" s="899" t="s">
        <v>3042</v>
      </c>
      <c r="CV26" s="900">
        <v>250</v>
      </c>
      <c r="CW26" s="15"/>
      <c r="CX26" s="24" t="s">
        <v>232</v>
      </c>
      <c r="CY26" s="19">
        <f>CY16-100</f>
        <v>490</v>
      </c>
      <c r="CZ26" s="26"/>
      <c r="DA26" s="31"/>
      <c r="DB26" s="32"/>
    </row>
    <row r="27" spans="1:106" ht="27" customHeight="1" thickBot="1">
      <c r="A27" s="2344"/>
      <c r="B27" s="2388"/>
      <c r="C27" s="2184" t="s">
        <v>3042</v>
      </c>
      <c r="D27" s="2185"/>
      <c r="E27" s="2185"/>
      <c r="F27" s="2185"/>
      <c r="G27" s="2186"/>
      <c r="H27" s="945">
        <f>IF(C27="","",VLOOKUP(C27,$CU$24:$CV$26,2,FALSE))</f>
        <v>250</v>
      </c>
      <c r="I27" s="904">
        <f t="shared" si="5"/>
        <v>0</v>
      </c>
      <c r="J27" s="2357"/>
      <c r="K27" s="2382"/>
      <c r="L27" s="890"/>
      <c r="M27" s="890"/>
      <c r="N27" s="890"/>
      <c r="O27" s="952"/>
      <c r="P27" s="2358"/>
      <c r="Q27" s="2358"/>
      <c r="R27" s="2358"/>
      <c r="S27" s="2359"/>
      <c r="T27" s="2132">
        <f t="shared" si="8"/>
        <v>0</v>
      </c>
      <c r="U27" s="2133"/>
      <c r="V27" s="35"/>
      <c r="W27" s="2438"/>
      <c r="X27" s="2374"/>
      <c r="Y27" s="2301" t="s">
        <v>237</v>
      </c>
      <c r="Z27" s="2302"/>
      <c r="AA27" s="2302"/>
      <c r="AB27" s="2302"/>
      <c r="AC27" s="2303"/>
      <c r="AD27" s="2123">
        <v>1000</v>
      </c>
      <c r="AE27" s="2286">
        <f>SUM(AF27:AV27)</f>
        <v>0</v>
      </c>
      <c r="AF27" s="2294"/>
      <c r="AG27" s="2000"/>
      <c r="AH27" s="2001"/>
      <c r="AI27" s="1999"/>
      <c r="AJ27" s="2000"/>
      <c r="AK27" s="2001"/>
      <c r="AL27" s="1999"/>
      <c r="AM27" s="2000"/>
      <c r="AN27" s="2001"/>
      <c r="AO27" s="1999"/>
      <c r="AP27" s="2000"/>
      <c r="AQ27" s="2001"/>
      <c r="AR27" s="1999"/>
      <c r="AS27" s="2000"/>
      <c r="AT27" s="2001"/>
      <c r="AU27" s="1998"/>
      <c r="AV27" s="1980"/>
      <c r="AW27" s="2260">
        <f>IF(AE27=AF27+AI27+AL27+AO27+AR27+AU27+AV27,AE27*AD27,"数量を再確認！")</f>
        <v>0</v>
      </c>
      <c r="AX27" s="2578"/>
      <c r="AY27" s="2165"/>
      <c r="AZ27" s="2184" t="s">
        <v>3041</v>
      </c>
      <c r="BA27" s="2185"/>
      <c r="BB27" s="2185"/>
      <c r="BC27" s="2185"/>
      <c r="BD27" s="2186"/>
      <c r="BE27" s="1000">
        <f>IF(AZ27="","",VLOOKUP(AZ27,$CU$24:$CV$26,2,FALSE))</f>
        <v>0</v>
      </c>
      <c r="BF27" s="1005">
        <f t="shared" si="6"/>
        <v>0</v>
      </c>
      <c r="BG27" s="2175"/>
      <c r="BH27" s="2176"/>
      <c r="BI27" s="1002"/>
      <c r="BJ27" s="1002"/>
      <c r="BK27" s="1002"/>
      <c r="BL27" s="1006"/>
      <c r="BM27" s="2177"/>
      <c r="BN27" s="2177"/>
      <c r="BO27" s="2177"/>
      <c r="BP27" s="2178"/>
      <c r="BQ27" s="2132">
        <f t="shared" si="9"/>
        <v>0</v>
      </c>
      <c r="BR27" s="2133"/>
      <c r="BS27" s="957"/>
      <c r="BT27" s="2217"/>
      <c r="BU27" s="2237"/>
      <c r="BV27" s="2109" t="s">
        <v>237</v>
      </c>
      <c r="BW27" s="2110"/>
      <c r="BX27" s="2110"/>
      <c r="BY27" s="2110"/>
      <c r="BZ27" s="2111"/>
      <c r="CA27" s="2123">
        <v>1000</v>
      </c>
      <c r="CB27" s="2098">
        <f>SUM(CC27:CS27)</f>
        <v>0</v>
      </c>
      <c r="CC27" s="2100"/>
      <c r="CD27" s="2084"/>
      <c r="CE27" s="2085"/>
      <c r="CF27" s="2083"/>
      <c r="CG27" s="2084"/>
      <c r="CH27" s="2085"/>
      <c r="CI27" s="2083"/>
      <c r="CJ27" s="2084"/>
      <c r="CK27" s="2085"/>
      <c r="CL27" s="2083"/>
      <c r="CM27" s="2084"/>
      <c r="CN27" s="2085"/>
      <c r="CO27" s="2083"/>
      <c r="CP27" s="2084"/>
      <c r="CQ27" s="2085"/>
      <c r="CR27" s="2559"/>
      <c r="CS27" s="2561"/>
      <c r="CT27" s="2260">
        <f>IF(CB27=CC27+CF27+CI27+CL27+CO27+CR27+CS27,CB27*CA27,"数量を再確認！")</f>
        <v>0</v>
      </c>
      <c r="CU27" s="15"/>
      <c r="CV27" s="15"/>
      <c r="CW27" s="15"/>
      <c r="CX27" s="24" t="s">
        <v>233</v>
      </c>
      <c r="CY27" s="19">
        <f>CY17-100</f>
        <v>540</v>
      </c>
      <c r="CZ27" s="26"/>
      <c r="DA27" s="31"/>
      <c r="DB27" s="32"/>
    </row>
    <row r="28" spans="1:106" ht="27" customHeight="1" thickBot="1">
      <c r="A28" s="2344"/>
      <c r="B28" s="2388"/>
      <c r="C28" s="2262" t="s">
        <v>3037</v>
      </c>
      <c r="D28" s="2263"/>
      <c r="E28" s="2263"/>
      <c r="F28" s="2263"/>
      <c r="G28" s="2263"/>
      <c r="H28" s="943" t="s">
        <v>3048</v>
      </c>
      <c r="I28" s="905">
        <f t="shared" si="5"/>
        <v>0</v>
      </c>
      <c r="J28" s="2376"/>
      <c r="K28" s="2377"/>
      <c r="L28" s="888"/>
      <c r="M28" s="953"/>
      <c r="N28" s="888"/>
      <c r="O28" s="953"/>
      <c r="P28" s="2378"/>
      <c r="Q28" s="2377"/>
      <c r="R28" s="2378"/>
      <c r="S28" s="2573"/>
      <c r="T28" s="2227" t="s">
        <v>3049</v>
      </c>
      <c r="U28" s="2228"/>
      <c r="V28" s="35"/>
      <c r="W28" s="2438"/>
      <c r="X28" s="2374"/>
      <c r="Y28" s="2383" t="s">
        <v>239</v>
      </c>
      <c r="Z28" s="2384"/>
      <c r="AA28" s="2384"/>
      <c r="AB28" s="2384"/>
      <c r="AC28" s="2385"/>
      <c r="AD28" s="2124"/>
      <c r="AE28" s="2287"/>
      <c r="AF28" s="2299"/>
      <c r="AG28" s="1996"/>
      <c r="AH28" s="1997"/>
      <c r="AI28" s="1995"/>
      <c r="AJ28" s="1996"/>
      <c r="AK28" s="1997"/>
      <c r="AL28" s="1995"/>
      <c r="AM28" s="1996"/>
      <c r="AN28" s="1997"/>
      <c r="AO28" s="1995"/>
      <c r="AP28" s="1996"/>
      <c r="AQ28" s="1997"/>
      <c r="AR28" s="1995"/>
      <c r="AS28" s="1996"/>
      <c r="AT28" s="1997"/>
      <c r="AU28" s="1991"/>
      <c r="AV28" s="1981"/>
      <c r="AW28" s="2261"/>
      <c r="AX28" s="2578"/>
      <c r="AY28" s="2165"/>
      <c r="AZ28" s="2262" t="s">
        <v>3037</v>
      </c>
      <c r="BA28" s="2263"/>
      <c r="BB28" s="2263"/>
      <c r="BC28" s="2263"/>
      <c r="BD28" s="2263"/>
      <c r="BE28" s="1007" t="s">
        <v>3048</v>
      </c>
      <c r="BF28" s="1008">
        <f t="shared" si="6"/>
        <v>2</v>
      </c>
      <c r="BG28" s="2264">
        <v>1</v>
      </c>
      <c r="BH28" s="2265"/>
      <c r="BI28" s="1009">
        <v>1</v>
      </c>
      <c r="BJ28" s="1010"/>
      <c r="BK28" s="1009"/>
      <c r="BL28" s="1010"/>
      <c r="BM28" s="2225"/>
      <c r="BN28" s="2265"/>
      <c r="BO28" s="2225"/>
      <c r="BP28" s="2226"/>
      <c r="BQ28" s="2227" t="s">
        <v>3049</v>
      </c>
      <c r="BR28" s="2228"/>
      <c r="BS28" s="957"/>
      <c r="BT28" s="2217"/>
      <c r="BU28" s="2237"/>
      <c r="BV28" s="2095" t="s">
        <v>239</v>
      </c>
      <c r="BW28" s="2096"/>
      <c r="BX28" s="2096"/>
      <c r="BY28" s="2096"/>
      <c r="BZ28" s="2097"/>
      <c r="CA28" s="2124"/>
      <c r="CB28" s="2099"/>
      <c r="CC28" s="2101"/>
      <c r="CD28" s="2087"/>
      <c r="CE28" s="2088"/>
      <c r="CF28" s="2086"/>
      <c r="CG28" s="2087"/>
      <c r="CH28" s="2088"/>
      <c r="CI28" s="2086"/>
      <c r="CJ28" s="2087"/>
      <c r="CK28" s="2088"/>
      <c r="CL28" s="2086"/>
      <c r="CM28" s="2087"/>
      <c r="CN28" s="2088"/>
      <c r="CO28" s="2086"/>
      <c r="CP28" s="2087"/>
      <c r="CQ28" s="2088"/>
      <c r="CR28" s="2560"/>
      <c r="CS28" s="2562"/>
      <c r="CT28" s="2261"/>
      <c r="CU28" s="15"/>
      <c r="CV28" s="15"/>
      <c r="CW28" s="15"/>
      <c r="CX28" s="24"/>
      <c r="CY28" s="19"/>
      <c r="CZ28" s="26"/>
      <c r="DA28" s="31"/>
      <c r="DB28" s="32"/>
    </row>
    <row r="29" spans="1:106" ht="27" customHeight="1" thickTop="1" thickBot="1">
      <c r="A29" s="2344"/>
      <c r="B29" s="2389"/>
      <c r="C29" s="2570" t="s">
        <v>562</v>
      </c>
      <c r="D29" s="2571"/>
      <c r="E29" s="2571"/>
      <c r="F29" s="2571"/>
      <c r="G29" s="2571"/>
      <c r="H29" s="2572"/>
      <c r="I29" s="916">
        <f>SUM(I23:I28)</f>
        <v>0</v>
      </c>
      <c r="J29" s="2121">
        <f>J24*$H$24+J25*$H$25+J26*$H$26+J27*$H$27</f>
        <v>0</v>
      </c>
      <c r="K29" s="2122"/>
      <c r="L29" s="575">
        <f>L24*$H$24+L25*$H$25+L26*$H$26+L27*$H$27</f>
        <v>0</v>
      </c>
      <c r="M29" s="886">
        <f t="shared" ref="M29:O29" si="10">M24*$H$24+M25*$H$25+M26*$H$26+M27*$H$27</f>
        <v>0</v>
      </c>
      <c r="N29" s="886">
        <f t="shared" si="10"/>
        <v>0</v>
      </c>
      <c r="O29" s="886">
        <f t="shared" si="10"/>
        <v>0</v>
      </c>
      <c r="P29" s="2105">
        <f>P24*$H$24+P25*$H$25+P26*$H$26+P27*$H$27</f>
        <v>0</v>
      </c>
      <c r="Q29" s="2106"/>
      <c r="R29" s="2105">
        <f>R24*$H$24+R25*$H$25+R26*$H$26+R27*$H$27</f>
        <v>0</v>
      </c>
      <c r="S29" s="2106"/>
      <c r="T29" s="2107">
        <f>IF(COUNTIF(T23:U28,"人数を再確認！"),"人数を再確認！",SUM(T23:U28))</f>
        <v>0</v>
      </c>
      <c r="U29" s="2108"/>
      <c r="V29" s="733"/>
      <c r="W29" s="2438"/>
      <c r="X29" s="2374"/>
      <c r="Y29" s="2301" t="s">
        <v>242</v>
      </c>
      <c r="Z29" s="2302"/>
      <c r="AA29" s="2302"/>
      <c r="AB29" s="2302"/>
      <c r="AC29" s="2303"/>
      <c r="AD29" s="2123">
        <v>3500</v>
      </c>
      <c r="AE29" s="2286">
        <f>IF('01 使用承認申請書'!AN20=TRUE,1,0)</f>
        <v>0</v>
      </c>
      <c r="AF29" s="2294"/>
      <c r="AG29" s="2000"/>
      <c r="AH29" s="2001"/>
      <c r="AI29" s="1999"/>
      <c r="AJ29" s="2000"/>
      <c r="AK29" s="2001"/>
      <c r="AL29" s="1999"/>
      <c r="AM29" s="2000"/>
      <c r="AN29" s="2001"/>
      <c r="AO29" s="1999"/>
      <c r="AP29" s="2000"/>
      <c r="AQ29" s="2001"/>
      <c r="AR29" s="1999"/>
      <c r="AS29" s="2000"/>
      <c r="AT29" s="2001"/>
      <c r="AU29" s="1998"/>
      <c r="AV29" s="1980"/>
      <c r="AW29" s="2260">
        <f>IF(AE29=AF29+AI29+AL29+AO29+AR29+AU29+AV29,AE29*AD29,"数量を再確認！")</f>
        <v>0</v>
      </c>
      <c r="AX29" s="2578"/>
      <c r="AY29" s="2166"/>
      <c r="AZ29" s="2187" t="s">
        <v>562</v>
      </c>
      <c r="BA29" s="2188"/>
      <c r="BB29" s="2188"/>
      <c r="BC29" s="2188"/>
      <c r="BD29" s="2188"/>
      <c r="BE29" s="2189"/>
      <c r="BF29" s="1011">
        <f>SUM(BF23:BF28)</f>
        <v>130</v>
      </c>
      <c r="BG29" s="2121">
        <f>BE25*BG25+BE24*BG24+BE26*BG26+BE27*BG27</f>
        <v>0</v>
      </c>
      <c r="BH29" s="2122"/>
      <c r="BI29" s="932">
        <f>BE24*BI24+BE25*BI25+BE26*BI26+BE27*BI27</f>
        <v>2610</v>
      </c>
      <c r="BJ29" s="932">
        <f>BJ24*BE24+BJ25*BE25+BJ26*BE26+BJ27*BE27</f>
        <v>5800</v>
      </c>
      <c r="BK29" s="1012">
        <f>BK24*BE24+BK25*BE25+BK26*BE26+BK27*BE27</f>
        <v>0</v>
      </c>
      <c r="BL29" s="1012">
        <f>BL24*BE24+BL25*BE25+BL26*BE26+BL27*BE27</f>
        <v>0</v>
      </c>
      <c r="BM29" s="2105">
        <f>BM24*BE24+BM25*BE25+BM26*BE26+BM27*BE27</f>
        <v>0</v>
      </c>
      <c r="BN29" s="2106"/>
      <c r="BO29" s="2105">
        <f>BO24*BE24+BO25*BE25+BO26*BE26+BO27*BE27</f>
        <v>0</v>
      </c>
      <c r="BP29" s="2106"/>
      <c r="BQ29" s="2107">
        <f>IF(COUNTIF(BQ23:BR26,"人数を再確認！"),"人数を再確認！",SUM(BQ23:BR26))</f>
        <v>8410</v>
      </c>
      <c r="BR29" s="2108"/>
      <c r="BS29" s="733"/>
      <c r="BT29" s="2217"/>
      <c r="BU29" s="2237"/>
      <c r="BV29" s="2109" t="s">
        <v>242</v>
      </c>
      <c r="BW29" s="2110"/>
      <c r="BX29" s="2110"/>
      <c r="BY29" s="2110"/>
      <c r="BZ29" s="2111"/>
      <c r="CA29" s="2123">
        <v>3500</v>
      </c>
      <c r="CB29" s="2098">
        <f>IF('[1]01 使用承認申請書'!CK20=TRUE,1,0)</f>
        <v>0</v>
      </c>
      <c r="CC29" s="2100"/>
      <c r="CD29" s="2084"/>
      <c r="CE29" s="2085"/>
      <c r="CF29" s="2083"/>
      <c r="CG29" s="2084"/>
      <c r="CH29" s="2085"/>
      <c r="CI29" s="2083"/>
      <c r="CJ29" s="2084"/>
      <c r="CK29" s="2085"/>
      <c r="CL29" s="2083"/>
      <c r="CM29" s="2084"/>
      <c r="CN29" s="2085"/>
      <c r="CO29" s="2083"/>
      <c r="CP29" s="2084"/>
      <c r="CQ29" s="2085"/>
      <c r="CR29" s="2559"/>
      <c r="CS29" s="2561"/>
      <c r="CT29" s="2260">
        <f>IF(CB29=CC29+CF29+CI29+CL29+CO29+CR29+CS29,CB29*CA29,"数量を再確認！")</f>
        <v>0</v>
      </c>
      <c r="CU29" s="15"/>
      <c r="CV29" s="15"/>
      <c r="CW29" s="15"/>
      <c r="CX29" s="24" t="s">
        <v>234</v>
      </c>
      <c r="CY29" s="19">
        <f t="shared" ref="CY29:CY34" si="11">CY18-100</f>
        <v>530</v>
      </c>
      <c r="CZ29" s="25"/>
      <c r="DA29" s="31"/>
      <c r="DB29" s="32"/>
    </row>
    <row r="30" spans="1:106" ht="27" customHeight="1" thickTop="1">
      <c r="A30" s="2344"/>
      <c r="B30" s="2334" t="s">
        <v>235</v>
      </c>
      <c r="C30" s="2337" t="s">
        <v>236</v>
      </c>
      <c r="D30" s="2014" t="s">
        <v>3044</v>
      </c>
      <c r="E30" s="2014"/>
      <c r="F30" s="2014"/>
      <c r="G30" s="2014"/>
      <c r="H30" s="906" t="s">
        <v>3048</v>
      </c>
      <c r="I30" s="576">
        <f>SUM(J30:S30)</f>
        <v>0</v>
      </c>
      <c r="J30" s="2580"/>
      <c r="K30" s="2304"/>
      <c r="L30" s="887"/>
      <c r="M30" s="887"/>
      <c r="N30" s="887"/>
      <c r="O30" s="887"/>
      <c r="P30" s="2304"/>
      <c r="Q30" s="2304"/>
      <c r="R30" s="2304"/>
      <c r="S30" s="2386"/>
      <c r="T30" s="2136" t="s">
        <v>3049</v>
      </c>
      <c r="U30" s="2137"/>
      <c r="V30" s="35"/>
      <c r="W30" s="2438"/>
      <c r="X30" s="2374"/>
      <c r="Y30" s="2495" t="s">
        <v>244</v>
      </c>
      <c r="Z30" s="2496"/>
      <c r="AA30" s="2496"/>
      <c r="AB30" s="2496"/>
      <c r="AC30" s="2497"/>
      <c r="AD30" s="2124"/>
      <c r="AE30" s="2298"/>
      <c r="AF30" s="2295"/>
      <c r="AG30" s="2296"/>
      <c r="AH30" s="2297"/>
      <c r="AI30" s="1995"/>
      <c r="AJ30" s="1996"/>
      <c r="AK30" s="1997"/>
      <c r="AL30" s="1995"/>
      <c r="AM30" s="1996"/>
      <c r="AN30" s="1997"/>
      <c r="AO30" s="1995"/>
      <c r="AP30" s="1996"/>
      <c r="AQ30" s="1997"/>
      <c r="AR30" s="1995"/>
      <c r="AS30" s="1996"/>
      <c r="AT30" s="1997"/>
      <c r="AU30" s="1991"/>
      <c r="AV30" s="1981"/>
      <c r="AW30" s="2259"/>
      <c r="AX30" s="2578"/>
      <c r="AY30" s="2008" t="s">
        <v>235</v>
      </c>
      <c r="AZ30" s="2011" t="s">
        <v>236</v>
      </c>
      <c r="BA30" s="2014" t="s">
        <v>3044</v>
      </c>
      <c r="BB30" s="2014"/>
      <c r="BC30" s="2014"/>
      <c r="BD30" s="2014"/>
      <c r="BE30" s="906" t="s">
        <v>3048</v>
      </c>
      <c r="BF30" s="576">
        <f>SUM(BG30:BP30)</f>
        <v>0</v>
      </c>
      <c r="BG30" s="2209"/>
      <c r="BH30" s="2134"/>
      <c r="BI30" s="1013"/>
      <c r="BJ30" s="1013"/>
      <c r="BK30" s="1013"/>
      <c r="BL30" s="1013"/>
      <c r="BM30" s="2134"/>
      <c r="BN30" s="2134"/>
      <c r="BO30" s="2134"/>
      <c r="BP30" s="2135"/>
      <c r="BQ30" s="2136" t="s">
        <v>3049</v>
      </c>
      <c r="BR30" s="2137"/>
      <c r="BS30" s="957"/>
      <c r="BT30" s="2217"/>
      <c r="BU30" s="2237"/>
      <c r="BV30" s="2138" t="s">
        <v>244</v>
      </c>
      <c r="BW30" s="2139"/>
      <c r="BX30" s="2139"/>
      <c r="BY30" s="2139"/>
      <c r="BZ30" s="2140"/>
      <c r="CA30" s="2124"/>
      <c r="CB30" s="2112"/>
      <c r="CC30" s="2541"/>
      <c r="CD30" s="2542"/>
      <c r="CE30" s="2543"/>
      <c r="CF30" s="2086"/>
      <c r="CG30" s="2087"/>
      <c r="CH30" s="2088"/>
      <c r="CI30" s="2086"/>
      <c r="CJ30" s="2087"/>
      <c r="CK30" s="2088"/>
      <c r="CL30" s="2086"/>
      <c r="CM30" s="2087"/>
      <c r="CN30" s="2088"/>
      <c r="CO30" s="2086"/>
      <c r="CP30" s="2087"/>
      <c r="CQ30" s="2088"/>
      <c r="CR30" s="2560"/>
      <c r="CS30" s="2562"/>
      <c r="CT30" s="2259"/>
      <c r="CU30" s="15"/>
      <c r="CV30" s="15"/>
      <c r="CW30" s="15"/>
      <c r="CX30" s="24" t="s">
        <v>238</v>
      </c>
      <c r="CY30" s="19">
        <f t="shared" si="11"/>
        <v>600</v>
      </c>
      <c r="CZ30" s="26"/>
      <c r="DA30" s="31"/>
      <c r="DB30" s="32"/>
    </row>
    <row r="31" spans="1:106" ht="27" customHeight="1">
      <c r="A31" s="2344"/>
      <c r="B31" s="2334"/>
      <c r="C31" s="2338"/>
      <c r="D31" s="2117" t="s">
        <v>3045</v>
      </c>
      <c r="E31" s="2117"/>
      <c r="F31" s="2117"/>
      <c r="G31" s="2117"/>
      <c r="H31" s="577">
        <v>330</v>
      </c>
      <c r="I31" s="578">
        <f>SUM(J31:S31)</f>
        <v>0</v>
      </c>
      <c r="J31" s="2341"/>
      <c r="K31" s="2315"/>
      <c r="L31" s="885"/>
      <c r="M31" s="885"/>
      <c r="N31" s="885"/>
      <c r="O31" s="885"/>
      <c r="P31" s="2315"/>
      <c r="Q31" s="2315"/>
      <c r="R31" s="2315"/>
      <c r="S31" s="2316"/>
      <c r="T31" s="2048">
        <f>IF(I31=J31+L31+M31+N31+O31+P31+R31,H31*I31,"人数を再確認！")</f>
        <v>0</v>
      </c>
      <c r="U31" s="2049"/>
      <c r="V31" s="214">
        <f>IF(I30*0.2&lt;J31+L31+M31+N31+O31+P31+R31,1,0)</f>
        <v>0</v>
      </c>
      <c r="W31" s="2438"/>
      <c r="X31" s="2374"/>
      <c r="Y31" s="2498" t="s">
        <v>246</v>
      </c>
      <c r="Z31" s="2499"/>
      <c r="AA31" s="2499"/>
      <c r="AB31" s="2499"/>
      <c r="AC31" s="2500"/>
      <c r="AD31" s="2113">
        <v>2700</v>
      </c>
      <c r="AE31" s="2286">
        <f>SUM(AF31:AV31)</f>
        <v>0</v>
      </c>
      <c r="AF31" s="2294"/>
      <c r="AG31" s="2000"/>
      <c r="AH31" s="2001"/>
      <c r="AI31" s="1999"/>
      <c r="AJ31" s="2000"/>
      <c r="AK31" s="2001"/>
      <c r="AL31" s="1999"/>
      <c r="AM31" s="2000"/>
      <c r="AN31" s="2001"/>
      <c r="AO31" s="1999"/>
      <c r="AP31" s="2000"/>
      <c r="AQ31" s="2001"/>
      <c r="AR31" s="1999"/>
      <c r="AS31" s="2000"/>
      <c r="AT31" s="2001"/>
      <c r="AU31" s="1998"/>
      <c r="AV31" s="1980"/>
      <c r="AW31" s="2260">
        <f>IF(AE31=AF31+AI31+AL31+AO31+AR31+AU31+AV31,AE31*AD31,"人数を再確認！")</f>
        <v>0</v>
      </c>
      <c r="AX31" s="2578"/>
      <c r="AY31" s="2008"/>
      <c r="AZ31" s="2003"/>
      <c r="BA31" s="2117" t="s">
        <v>3045</v>
      </c>
      <c r="BB31" s="2117"/>
      <c r="BC31" s="2117"/>
      <c r="BD31" s="2117"/>
      <c r="BE31" s="577">
        <v>330</v>
      </c>
      <c r="BF31" s="578">
        <f>SUM(BG31:BP31)</f>
        <v>0</v>
      </c>
      <c r="BG31" s="2042"/>
      <c r="BH31" s="1987"/>
      <c r="BI31" s="1014"/>
      <c r="BJ31" s="1014"/>
      <c r="BK31" s="1014"/>
      <c r="BL31" s="1014"/>
      <c r="BM31" s="1987"/>
      <c r="BN31" s="1987"/>
      <c r="BO31" s="1987"/>
      <c r="BP31" s="1988"/>
      <c r="BQ31" s="2048">
        <f>IF(BF31=BG31+BI31+BJ31+BK31+BL31+BM31+BO31,BE31*BF31,"人数を再確認！")</f>
        <v>0</v>
      </c>
      <c r="BR31" s="2049"/>
      <c r="BS31" s="1015">
        <f>IF(BF30*0.2&lt;BG31+BI31+BJ31+BK31+BL31+BM31+BO31,1,0)</f>
        <v>0</v>
      </c>
      <c r="BT31" s="2217"/>
      <c r="BU31" s="2237"/>
      <c r="BV31" s="2089" t="s">
        <v>246</v>
      </c>
      <c r="BW31" s="2090"/>
      <c r="BX31" s="2090"/>
      <c r="BY31" s="2090"/>
      <c r="BZ31" s="2091"/>
      <c r="CA31" s="2113">
        <v>2700</v>
      </c>
      <c r="CB31" s="2098">
        <f>SUM(CC31:CS31)</f>
        <v>0</v>
      </c>
      <c r="CC31" s="2100"/>
      <c r="CD31" s="2084"/>
      <c r="CE31" s="2085"/>
      <c r="CF31" s="2083"/>
      <c r="CG31" s="2084"/>
      <c r="CH31" s="2085"/>
      <c r="CI31" s="2083"/>
      <c r="CJ31" s="2084"/>
      <c r="CK31" s="2085"/>
      <c r="CL31" s="2083"/>
      <c r="CM31" s="2084"/>
      <c r="CN31" s="2085"/>
      <c r="CO31" s="2083"/>
      <c r="CP31" s="2084"/>
      <c r="CQ31" s="2085"/>
      <c r="CR31" s="2559"/>
      <c r="CS31" s="2561"/>
      <c r="CT31" s="2260">
        <f>IF(CB31=CC31+CF31+CI31+CL31+CO31+CR31+CS31,CB31*CA31,"人数を再確認！")</f>
        <v>0</v>
      </c>
      <c r="CU31" s="15"/>
      <c r="CV31" s="15"/>
      <c r="CW31" s="15"/>
      <c r="CX31" s="24" t="s">
        <v>240</v>
      </c>
      <c r="CY31" s="19">
        <f t="shared" si="11"/>
        <v>650</v>
      </c>
      <c r="CZ31" s="26"/>
      <c r="DA31" s="31"/>
      <c r="DB31" s="32"/>
    </row>
    <row r="32" spans="1:106" ht="27" customHeight="1" thickBot="1">
      <c r="A32" s="2344"/>
      <c r="B32" s="2335"/>
      <c r="C32" s="2339"/>
      <c r="D32" s="2117" t="s">
        <v>241</v>
      </c>
      <c r="E32" s="2117"/>
      <c r="F32" s="2117"/>
      <c r="G32" s="2117"/>
      <c r="H32" s="577">
        <v>330</v>
      </c>
      <c r="I32" s="578">
        <f>SUM(J32:S32)</f>
        <v>0</v>
      </c>
      <c r="J32" s="2341"/>
      <c r="K32" s="2315"/>
      <c r="L32" s="885"/>
      <c r="M32" s="885"/>
      <c r="N32" s="885"/>
      <c r="O32" s="885"/>
      <c r="P32" s="2315"/>
      <c r="Q32" s="2315"/>
      <c r="R32" s="2315"/>
      <c r="S32" s="2316"/>
      <c r="T32" s="2048">
        <f t="shared" ref="T32:T37" si="12">IF(I32=J32+L32+M32+N32+O32+P32+R32,H32*I32,"人数を再確認！")</f>
        <v>0</v>
      </c>
      <c r="U32" s="2049"/>
      <c r="V32" s="37"/>
      <c r="W32" s="2438"/>
      <c r="X32" s="2374"/>
      <c r="Y32" s="2283" t="s">
        <v>248</v>
      </c>
      <c r="Z32" s="2284"/>
      <c r="AA32" s="2284"/>
      <c r="AB32" s="2284"/>
      <c r="AC32" s="2285"/>
      <c r="AD32" s="2114"/>
      <c r="AE32" s="2287"/>
      <c r="AF32" s="2299"/>
      <c r="AG32" s="1996"/>
      <c r="AH32" s="1997"/>
      <c r="AI32" s="1995"/>
      <c r="AJ32" s="1996"/>
      <c r="AK32" s="1997"/>
      <c r="AL32" s="1995"/>
      <c r="AM32" s="1996"/>
      <c r="AN32" s="1997"/>
      <c r="AO32" s="1995"/>
      <c r="AP32" s="1996"/>
      <c r="AQ32" s="1997"/>
      <c r="AR32" s="1995"/>
      <c r="AS32" s="1996"/>
      <c r="AT32" s="1997"/>
      <c r="AU32" s="1991"/>
      <c r="AV32" s="1981"/>
      <c r="AW32" s="2259"/>
      <c r="AX32" s="2578"/>
      <c r="AY32" s="2009"/>
      <c r="AZ32" s="2012"/>
      <c r="BA32" s="2117" t="s">
        <v>241</v>
      </c>
      <c r="BB32" s="2117"/>
      <c r="BC32" s="2117"/>
      <c r="BD32" s="2117"/>
      <c r="BE32" s="577">
        <v>330</v>
      </c>
      <c r="BF32" s="578">
        <f>SUM(BG32:BP32)</f>
        <v>99</v>
      </c>
      <c r="BG32" s="2042">
        <v>99</v>
      </c>
      <c r="BH32" s="1987"/>
      <c r="BI32" s="1014"/>
      <c r="BJ32" s="1014"/>
      <c r="BK32" s="1014"/>
      <c r="BL32" s="1014"/>
      <c r="BM32" s="1987"/>
      <c r="BN32" s="1987"/>
      <c r="BO32" s="1987"/>
      <c r="BP32" s="1988"/>
      <c r="BQ32" s="2048">
        <f t="shared" ref="BQ32:BQ34" si="13">IF(BF32=BG32+BI32+BJ32+BK32+BL32+BM32+BO32,BE32*BF32,"人数を再確認！")</f>
        <v>32670</v>
      </c>
      <c r="BR32" s="2049"/>
      <c r="BS32" s="1016"/>
      <c r="BT32" s="2217"/>
      <c r="BU32" s="2237"/>
      <c r="BV32" s="2102" t="s">
        <v>248</v>
      </c>
      <c r="BW32" s="2103"/>
      <c r="BX32" s="2103"/>
      <c r="BY32" s="2103"/>
      <c r="BZ32" s="2104"/>
      <c r="CA32" s="2114"/>
      <c r="CB32" s="2099"/>
      <c r="CC32" s="2101"/>
      <c r="CD32" s="2087"/>
      <c r="CE32" s="2088"/>
      <c r="CF32" s="2086"/>
      <c r="CG32" s="2087"/>
      <c r="CH32" s="2088"/>
      <c r="CI32" s="2086"/>
      <c r="CJ32" s="2087"/>
      <c r="CK32" s="2088"/>
      <c r="CL32" s="2086"/>
      <c r="CM32" s="2087"/>
      <c r="CN32" s="2088"/>
      <c r="CO32" s="2086"/>
      <c r="CP32" s="2087"/>
      <c r="CQ32" s="2088"/>
      <c r="CR32" s="2560"/>
      <c r="CS32" s="2562"/>
      <c r="CT32" s="2259"/>
      <c r="CU32" s="15"/>
      <c r="CV32" s="15"/>
      <c r="CW32" s="15"/>
      <c r="CX32" s="24" t="s">
        <v>243</v>
      </c>
      <c r="CY32" s="19">
        <f t="shared" si="11"/>
        <v>420</v>
      </c>
      <c r="CZ32" s="26"/>
      <c r="DA32" s="31"/>
      <c r="DB32" s="32"/>
    </row>
    <row r="33" spans="1:106" ht="27" customHeight="1">
      <c r="A33" s="2344"/>
      <c r="B33" s="2334"/>
      <c r="C33" s="2338"/>
      <c r="D33" s="2014" t="s">
        <v>3046</v>
      </c>
      <c r="E33" s="2014"/>
      <c r="F33" s="2014"/>
      <c r="G33" s="2014"/>
      <c r="H33" s="907">
        <v>710</v>
      </c>
      <c r="I33" s="578">
        <f>SUM(J33:S33)</f>
        <v>0</v>
      </c>
      <c r="J33" s="2586"/>
      <c r="K33" s="2587"/>
      <c r="L33" s="946"/>
      <c r="M33" s="885"/>
      <c r="N33" s="885"/>
      <c r="O33" s="579"/>
      <c r="P33" s="2315"/>
      <c r="Q33" s="2315"/>
      <c r="R33" s="2315"/>
      <c r="S33" s="2316"/>
      <c r="T33" s="2048">
        <f t="shared" si="12"/>
        <v>0</v>
      </c>
      <c r="U33" s="2049"/>
      <c r="V33" s="34"/>
      <c r="W33" s="2438"/>
      <c r="X33" s="2374"/>
      <c r="Y33" s="2383" t="s">
        <v>2937</v>
      </c>
      <c r="Z33" s="2384"/>
      <c r="AA33" s="2384"/>
      <c r="AB33" s="2384"/>
      <c r="AC33" s="2385"/>
      <c r="AD33" s="626">
        <v>100</v>
      </c>
      <c r="AE33" s="627">
        <f>SUM(AF33:AV33)</f>
        <v>0</v>
      </c>
      <c r="AF33" s="2288"/>
      <c r="AG33" s="2289"/>
      <c r="AH33" s="2290"/>
      <c r="AI33" s="2291"/>
      <c r="AJ33" s="2292"/>
      <c r="AK33" s="2293"/>
      <c r="AL33" s="2291"/>
      <c r="AM33" s="2292"/>
      <c r="AN33" s="2293"/>
      <c r="AO33" s="2274"/>
      <c r="AP33" s="2275"/>
      <c r="AQ33" s="2276"/>
      <c r="AR33" s="2274"/>
      <c r="AS33" s="2275"/>
      <c r="AT33" s="2276"/>
      <c r="AU33" s="614"/>
      <c r="AV33" s="615"/>
      <c r="AW33" s="918">
        <f>IF(AE33=AF33+AI33+AL33+AO33+AR33+AU33+AV33,AE33*AD33,"数量を再確認！")</f>
        <v>0</v>
      </c>
      <c r="AX33" s="2578"/>
      <c r="AY33" s="2008"/>
      <c r="AZ33" s="2003"/>
      <c r="BA33" s="2014" t="s">
        <v>3046</v>
      </c>
      <c r="BB33" s="2014"/>
      <c r="BC33" s="2014"/>
      <c r="BD33" s="2014"/>
      <c r="BE33" s="907">
        <v>710</v>
      </c>
      <c r="BF33" s="578">
        <f>SUM(BG33:BP33)</f>
        <v>0</v>
      </c>
      <c r="BG33" s="2115"/>
      <c r="BH33" s="2116"/>
      <c r="BI33" s="1017"/>
      <c r="BJ33" s="1014"/>
      <c r="BK33" s="1014"/>
      <c r="BL33" s="1018"/>
      <c r="BM33" s="1987"/>
      <c r="BN33" s="1987"/>
      <c r="BO33" s="1987"/>
      <c r="BP33" s="1988"/>
      <c r="BQ33" s="2048">
        <f t="shared" si="13"/>
        <v>0</v>
      </c>
      <c r="BR33" s="2049"/>
      <c r="BS33" s="957"/>
      <c r="BT33" s="2217"/>
      <c r="BU33" s="2237"/>
      <c r="BV33" s="2095" t="s">
        <v>2937</v>
      </c>
      <c r="BW33" s="2096"/>
      <c r="BX33" s="2096"/>
      <c r="BY33" s="2096"/>
      <c r="BZ33" s="2097"/>
      <c r="CA33" s="626">
        <v>100</v>
      </c>
      <c r="CB33" s="1019">
        <f>SUM(CC33:CS33)</f>
        <v>0</v>
      </c>
      <c r="CC33" s="2544"/>
      <c r="CD33" s="2545"/>
      <c r="CE33" s="2546"/>
      <c r="CF33" s="2547"/>
      <c r="CG33" s="2548"/>
      <c r="CH33" s="2549"/>
      <c r="CI33" s="2547"/>
      <c r="CJ33" s="2548"/>
      <c r="CK33" s="2549"/>
      <c r="CL33" s="2550"/>
      <c r="CM33" s="2551"/>
      <c r="CN33" s="2552"/>
      <c r="CO33" s="2550"/>
      <c r="CP33" s="2551"/>
      <c r="CQ33" s="2552"/>
      <c r="CR33" s="1020"/>
      <c r="CS33" s="1021"/>
      <c r="CT33" s="918">
        <f>IF(CB33=CC33+CF33+CI33+CL33+CO33+CR33+CS33,CB33*CA33,"数量を再確認！")</f>
        <v>0</v>
      </c>
      <c r="CU33" s="15"/>
      <c r="CV33" s="15"/>
      <c r="CW33" s="15"/>
      <c r="CX33" s="24" t="s">
        <v>245</v>
      </c>
      <c r="CY33" s="19">
        <f t="shared" si="11"/>
        <v>470</v>
      </c>
      <c r="CZ33" s="26"/>
      <c r="DA33" s="31"/>
      <c r="DB33" s="32"/>
    </row>
    <row r="34" spans="1:106" ht="27" customHeight="1" thickBot="1">
      <c r="A34" s="2344"/>
      <c r="B34" s="2334"/>
      <c r="C34" s="2338"/>
      <c r="D34" s="1982" t="s">
        <v>452</v>
      </c>
      <c r="E34" s="1983"/>
      <c r="F34" s="1984"/>
      <c r="G34" s="1985"/>
      <c r="H34" s="577">
        <v>330</v>
      </c>
      <c r="I34" s="911">
        <f t="shared" ref="I34:I37" si="14">SUM(J34:S34)</f>
        <v>0</v>
      </c>
      <c r="J34" s="2342"/>
      <c r="K34" s="2315"/>
      <c r="L34" s="885"/>
      <c r="M34" s="947"/>
      <c r="N34" s="947"/>
      <c r="O34" s="948"/>
      <c r="P34" s="2317"/>
      <c r="Q34" s="2317"/>
      <c r="R34" s="2315"/>
      <c r="S34" s="2316"/>
      <c r="T34" s="2048">
        <f t="shared" si="12"/>
        <v>0</v>
      </c>
      <c r="U34" s="2049"/>
      <c r="V34" s="34"/>
      <c r="W34" s="2438"/>
      <c r="X34" s="2374"/>
      <c r="Y34" s="2323"/>
      <c r="Z34" s="2324"/>
      <c r="AA34" s="2324"/>
      <c r="AB34" s="2324"/>
      <c r="AC34" s="2325"/>
      <c r="AD34" s="616"/>
      <c r="AE34" s="617"/>
      <c r="AF34" s="2300"/>
      <c r="AG34" s="2026"/>
      <c r="AH34" s="2027"/>
      <c r="AI34" s="2326"/>
      <c r="AJ34" s="2327"/>
      <c r="AK34" s="2328"/>
      <c r="AL34" s="2326"/>
      <c r="AM34" s="2327"/>
      <c r="AN34" s="2328"/>
      <c r="AO34" s="2277"/>
      <c r="AP34" s="2278"/>
      <c r="AQ34" s="2279"/>
      <c r="AR34" s="2277"/>
      <c r="AS34" s="2278"/>
      <c r="AT34" s="2279"/>
      <c r="AU34" s="611"/>
      <c r="AV34" s="612"/>
      <c r="AW34" s="919">
        <f>IF(AE34=AF34+AI34+AL34+AO34+AR34+AU34+AV34,AE34*AD34,"数量を再確認！")</f>
        <v>0</v>
      </c>
      <c r="AX34" s="2578"/>
      <c r="AY34" s="2008"/>
      <c r="AZ34" s="2003"/>
      <c r="BA34" s="1982" t="s">
        <v>452</v>
      </c>
      <c r="BB34" s="1983"/>
      <c r="BC34" s="1984"/>
      <c r="BD34" s="1985"/>
      <c r="BE34" s="577">
        <v>330</v>
      </c>
      <c r="BF34" s="911">
        <f t="shared" ref="BF34:BF44" si="15">SUM(BG34:BP34)</f>
        <v>0</v>
      </c>
      <c r="BG34" s="1986"/>
      <c r="BH34" s="1987"/>
      <c r="BI34" s="1014"/>
      <c r="BJ34" s="1022"/>
      <c r="BK34" s="1022"/>
      <c r="BL34" s="1023"/>
      <c r="BM34" s="2040"/>
      <c r="BN34" s="2040"/>
      <c r="BO34" s="1987"/>
      <c r="BP34" s="1988"/>
      <c r="BQ34" s="2048">
        <f t="shared" si="13"/>
        <v>0</v>
      </c>
      <c r="BR34" s="2049"/>
      <c r="BS34" s="957"/>
      <c r="BT34" s="2217"/>
      <c r="BU34" s="2237"/>
      <c r="BV34" s="2092"/>
      <c r="BW34" s="2093"/>
      <c r="BX34" s="2093"/>
      <c r="BY34" s="2093"/>
      <c r="BZ34" s="2094"/>
      <c r="CA34" s="616"/>
      <c r="CB34" s="1024"/>
      <c r="CC34" s="2183"/>
      <c r="CD34" s="2145"/>
      <c r="CE34" s="2146"/>
      <c r="CF34" s="2553"/>
      <c r="CG34" s="2554"/>
      <c r="CH34" s="2555"/>
      <c r="CI34" s="2553"/>
      <c r="CJ34" s="2554"/>
      <c r="CK34" s="2555"/>
      <c r="CL34" s="2556"/>
      <c r="CM34" s="2557"/>
      <c r="CN34" s="2558"/>
      <c r="CO34" s="2556"/>
      <c r="CP34" s="2557"/>
      <c r="CQ34" s="2558"/>
      <c r="CR34" s="1025"/>
      <c r="CS34" s="1026"/>
      <c r="CT34" s="954">
        <f>IF(CB34=CC34+CF34+CI34+CL34+CO34+CR34+CS34,CB34*CA34,"数量を再確認！")</f>
        <v>0</v>
      </c>
      <c r="CU34" s="15"/>
      <c r="CV34" s="15"/>
      <c r="CW34" s="15"/>
      <c r="CX34" s="24" t="s">
        <v>247</v>
      </c>
      <c r="CY34" s="19">
        <f t="shared" si="11"/>
        <v>520</v>
      </c>
      <c r="CZ34" s="25"/>
      <c r="DA34" s="31"/>
      <c r="DB34" s="32"/>
    </row>
    <row r="35" spans="1:106" ht="27" customHeight="1" thickTop="1" thickBot="1">
      <c r="A35" s="2344"/>
      <c r="B35" s="2334"/>
      <c r="C35" s="2338"/>
      <c r="D35" s="1982" t="s">
        <v>3047</v>
      </c>
      <c r="E35" s="1983"/>
      <c r="F35" s="1984"/>
      <c r="G35" s="1985"/>
      <c r="H35" s="577">
        <v>710</v>
      </c>
      <c r="I35" s="911">
        <f t="shared" si="14"/>
        <v>0</v>
      </c>
      <c r="J35" s="2342"/>
      <c r="K35" s="2315"/>
      <c r="L35" s="885"/>
      <c r="M35" s="885"/>
      <c r="N35" s="885"/>
      <c r="O35" s="579"/>
      <c r="P35" s="2315"/>
      <c r="Q35" s="2315"/>
      <c r="R35" s="2315"/>
      <c r="S35" s="2316"/>
      <c r="T35" s="2048">
        <f t="shared" si="12"/>
        <v>0</v>
      </c>
      <c r="U35" s="2049"/>
      <c r="V35" s="34"/>
      <c r="W35" s="2439"/>
      <c r="X35" s="2375"/>
      <c r="Y35" s="2482" t="s">
        <v>1392</v>
      </c>
      <c r="Z35" s="2483"/>
      <c r="AA35" s="2483"/>
      <c r="AB35" s="2483"/>
      <c r="AC35" s="2483"/>
      <c r="AD35" s="2483"/>
      <c r="AE35" s="2484"/>
      <c r="AF35" s="2071">
        <f>$AD31*AF31+$AD22*AF22+$AD23*AF23+$AD24*AF24+$AD25*AF25+$AD27*AF27+$AD29*AF29+AD33*AF33+AD34*AF34</f>
        <v>0</v>
      </c>
      <c r="AG35" s="2072"/>
      <c r="AH35" s="2073"/>
      <c r="AI35" s="2071">
        <f>$AD$22*AI22+$AD$23*AI23+$AD$24*AI24+$AD$25*AI25+$AD$27*AI27+$AD$29*AI29+$AD$31*AI31+$AD$33*AI33+$AD$34*AI34</f>
        <v>0</v>
      </c>
      <c r="AJ35" s="2072"/>
      <c r="AK35" s="2073"/>
      <c r="AL35" s="2071">
        <f>$AD22*AL22+$AD23*AL23+$AD24*AL24+$AD25*AL25+$AD27*AL27+$AD29*AL29+AL31*AD31+AL33*AD33+AL34*AD34</f>
        <v>0</v>
      </c>
      <c r="AM35" s="2072"/>
      <c r="AN35" s="2073"/>
      <c r="AO35" s="2197">
        <f>$AD31*AO31+$AD22*AO22+$AD23*AO23+$AD24*AO24+$AD25*AO25+$AD27*AO27+$AD29*AO29+AD33*AO33+AD34*AO34</f>
        <v>0</v>
      </c>
      <c r="AP35" s="2198"/>
      <c r="AQ35" s="2199"/>
      <c r="AR35" s="2197">
        <f>$AD31*AR31+$AD22*AR22+$AD23*AR23+$AD24*AR24+$AD25*AR25+$AD27*AR27+$AD29*AR29+AD33*AR33+AD34*AR34</f>
        <v>0</v>
      </c>
      <c r="AS35" s="2198"/>
      <c r="AT35" s="2199"/>
      <c r="AU35" s="608">
        <f>$AD31*AU31+$AD22*AU22+$AD23*AU23+$AD24*AU24+$AD25*AU25+$AD27*AU27+$AD29*AU29+AD33*AU33+AD34*AU34</f>
        <v>0</v>
      </c>
      <c r="AV35" s="608">
        <f>$AD31*AV31+$AD22*AV22+$AD23*AV23+$AD24*AV24+$AD25*AV25+$AD27*AV27+$AD29*AV29+AD33*AV33+AD34*AV34</f>
        <v>0</v>
      </c>
      <c r="AW35" s="736">
        <f>IF(COUNTIF(AW22:AW34,"数量を再確認！"),"数量を再確認！",SUM(AW22:AW34))</f>
        <v>0</v>
      </c>
      <c r="AX35" s="2578"/>
      <c r="AY35" s="2008"/>
      <c r="AZ35" s="2003"/>
      <c r="BA35" s="1982" t="s">
        <v>3047</v>
      </c>
      <c r="BB35" s="1983"/>
      <c r="BC35" s="1984"/>
      <c r="BD35" s="1985"/>
      <c r="BE35" s="577">
        <v>710</v>
      </c>
      <c r="BF35" s="911">
        <f t="shared" si="15"/>
        <v>8</v>
      </c>
      <c r="BG35" s="1986"/>
      <c r="BH35" s="1987"/>
      <c r="BI35" s="1014">
        <v>8</v>
      </c>
      <c r="BJ35" s="1014"/>
      <c r="BK35" s="1014"/>
      <c r="BL35" s="1018"/>
      <c r="BM35" s="1987"/>
      <c r="BN35" s="1987"/>
      <c r="BO35" s="1987"/>
      <c r="BP35" s="1988"/>
      <c r="BQ35" s="2048">
        <f>IF(BF35=BG35+BI35+BJ35+BK35+BL35+BM35+BO35,BE35*BF35,"人数を再確認！")</f>
        <v>5680</v>
      </c>
      <c r="BR35" s="2049"/>
      <c r="BS35" s="957"/>
      <c r="BT35" s="2218"/>
      <c r="BU35" s="2238"/>
      <c r="BV35" s="2538" t="s">
        <v>1392</v>
      </c>
      <c r="BW35" s="2539"/>
      <c r="BX35" s="2539"/>
      <c r="BY35" s="2539"/>
      <c r="BZ35" s="2539"/>
      <c r="CA35" s="2539"/>
      <c r="CB35" s="2540"/>
      <c r="CC35" s="2071">
        <f>$AD31*CC31+$AD22*CC22+$AD23*CC23+$AD24*CC24+$AD25*CC25+$AD27*CC27+$AD29*CC29+CA33*CC33+CA34*CC34</f>
        <v>28000</v>
      </c>
      <c r="CD35" s="2072"/>
      <c r="CE35" s="2073"/>
      <c r="CF35" s="2071">
        <f>$AD$22*CF22+$AD$23*CF23+$AD$24*CF24+$AD$25*CF25+$AD$27*CF27+$AD$29*CF29+$AD$31*CF31+$AD$33*CF33+$AD$34*CF34</f>
        <v>2800</v>
      </c>
      <c r="CG35" s="2072"/>
      <c r="CH35" s="2073"/>
      <c r="CI35" s="2071">
        <f>$AD22*CI22+$AD23*CI23+$AD24*CI24+$AD25*CI25+$AD27*CI27+$AD29*CI29+CI31*CA31+CI33*CA33+CI34*CA34</f>
        <v>0</v>
      </c>
      <c r="CJ35" s="2072"/>
      <c r="CK35" s="2073"/>
      <c r="CL35" s="2197">
        <f>$AD31*CL31+$AD22*CL22+$AD23*CL23+$AD24*CL24+$AD25*CL25+$AD27*CL27+$AD29*CL29+CA33*CL33+CA34*CL34</f>
        <v>0</v>
      </c>
      <c r="CM35" s="2198"/>
      <c r="CN35" s="2199"/>
      <c r="CO35" s="2197">
        <f>$AD31*CO31+$AD22*CO22+$AD23*CO23+$AD24*CO24+$AD25*CO25+$AD27*CO27+$AD29*CO29+CA33*CO33+CA34*CO34</f>
        <v>0</v>
      </c>
      <c r="CP35" s="2198"/>
      <c r="CQ35" s="2199"/>
      <c r="CR35" s="608">
        <f>$AD31*CR31+$AD22*CR22+$AD23*CR23+$AD24*CR24+$AD25*CR25+$AD27*CR27+$AD29*CR29+CA33*CR33+CA34*CR34</f>
        <v>0</v>
      </c>
      <c r="CS35" s="608">
        <f>$AD31*CS31+$AD22*CS22+$AD23*CS23+$AD24*CS24+$AD25*CS25+$AD27*CS27+$AD29*CS29+CA33*CS33+CA34*CS34</f>
        <v>0</v>
      </c>
      <c r="CT35" s="736">
        <f>IF(COUNTIF(CT22:CT34,"数量を再確認！"),"数量を再確認！",SUM(CT22:CT34))</f>
        <v>30800</v>
      </c>
      <c r="CU35" s="15"/>
      <c r="CV35" s="15"/>
      <c r="CW35" s="15"/>
      <c r="CX35" s="2028" t="s">
        <v>101</v>
      </c>
      <c r="CY35" s="2029"/>
      <c r="CZ35" s="26"/>
      <c r="DA35" s="31"/>
      <c r="DB35" s="32"/>
    </row>
    <row r="36" spans="1:106" ht="27" customHeight="1" thickTop="1">
      <c r="A36" s="2344"/>
      <c r="B36" s="2334"/>
      <c r="C36" s="2338"/>
      <c r="D36" s="2015" t="s">
        <v>249</v>
      </c>
      <c r="E36" s="2015"/>
      <c r="F36" s="2015"/>
      <c r="G36" s="2015"/>
      <c r="H36" s="908" t="s">
        <v>3048</v>
      </c>
      <c r="I36" s="911">
        <f t="shared" si="14"/>
        <v>0</v>
      </c>
      <c r="J36" s="2342"/>
      <c r="K36" s="2315"/>
      <c r="L36" s="885"/>
      <c r="M36" s="579"/>
      <c r="N36" s="885"/>
      <c r="O36" s="579"/>
      <c r="P36" s="2315"/>
      <c r="Q36" s="2315"/>
      <c r="R36" s="2315"/>
      <c r="S36" s="2316"/>
      <c r="T36" s="2048" t="s">
        <v>3049</v>
      </c>
      <c r="U36" s="2049"/>
      <c r="V36" s="295"/>
      <c r="W36" s="2563" t="s">
        <v>81</v>
      </c>
      <c r="X36" s="2319" t="s">
        <v>1401</v>
      </c>
      <c r="Y36" s="2319"/>
      <c r="Z36" s="2319"/>
      <c r="AA36" s="2319"/>
      <c r="AB36" s="2319"/>
      <c r="AC36" s="2319"/>
      <c r="AD36" s="2319"/>
      <c r="AE36" s="2320"/>
      <c r="AF36" s="2030">
        <f>(AF22*AD22+AF25*AD25+AF27*AD27+AF29*AD29+AF31*AD31+AF33*AD33+AF34*AD34)+AF21+J29+J46</f>
        <v>0</v>
      </c>
      <c r="AG36" s="2031"/>
      <c r="AH36" s="2032"/>
      <c r="AI36" s="2030">
        <f>(AI22*AD22+AI25*AD25+AI27*AD27+AI29*AD29+AI31*AD31+AI33*AD33+AI34*AD34)+AI21+L29+L46</f>
        <v>0</v>
      </c>
      <c r="AJ36" s="2031"/>
      <c r="AK36" s="2032"/>
      <c r="AL36" s="2030">
        <f>(AL22*AD22+AL25*AD25+AL27*AD27+AL29*AD29+AL31*AD31+AL33*AD33+AL34*AD34)+AL21+M29+M46</f>
        <v>0</v>
      </c>
      <c r="AM36" s="2031"/>
      <c r="AN36" s="2032"/>
      <c r="AO36" s="2030">
        <f>(AO22*AD22+AO25*AD25+AO27*AD27+AO29*AD29+AO31*AD31+AO33*AD33+AO34*AD34)+AO21+N29+N46</f>
        <v>0</v>
      </c>
      <c r="AP36" s="2031"/>
      <c r="AQ36" s="2032"/>
      <c r="AR36" s="2030">
        <f>(AR22*AD22+AR25*AD25+AR27*AD27+AR29*AD29+AR31*AD31+AR33*AD33+AR34*AD34)+AR21+O29+O46</f>
        <v>0</v>
      </c>
      <c r="AS36" s="2031"/>
      <c r="AT36" s="2032"/>
      <c r="AU36" s="618">
        <f>(AU22*AD22+AU25*AD25+AU27*AD27+AU29*AD29+AU31*AD31+AU33*AD33+AU34*AD34)+AU21+P29+P46</f>
        <v>0</v>
      </c>
      <c r="AV36" s="619">
        <f>(AV22*AE22+AV25*AE25+AV27*AE27+AV29*AE29+AV31*AE31+AV33*AE33+AV34*AE34)+AV21+R29+R46</f>
        <v>0</v>
      </c>
      <c r="AW36" s="735">
        <f>SUM(AF36:AV36)</f>
        <v>0</v>
      </c>
      <c r="AX36" s="2578"/>
      <c r="AY36" s="2008"/>
      <c r="AZ36" s="2003"/>
      <c r="BA36" s="2015" t="s">
        <v>249</v>
      </c>
      <c r="BB36" s="2015"/>
      <c r="BC36" s="2015"/>
      <c r="BD36" s="2015"/>
      <c r="BE36" s="908" t="s">
        <v>3048</v>
      </c>
      <c r="BF36" s="911">
        <f t="shared" si="15"/>
        <v>0</v>
      </c>
      <c r="BG36" s="1986"/>
      <c r="BH36" s="1987"/>
      <c r="BI36" s="1014"/>
      <c r="BJ36" s="1018"/>
      <c r="BK36" s="1014"/>
      <c r="BL36" s="1018"/>
      <c r="BM36" s="1987"/>
      <c r="BN36" s="1987"/>
      <c r="BO36" s="1987"/>
      <c r="BP36" s="1988"/>
      <c r="BQ36" s="2048" t="s">
        <v>3049</v>
      </c>
      <c r="BR36" s="2049"/>
      <c r="BS36" s="1027"/>
      <c r="BT36" s="2125" t="s">
        <v>81</v>
      </c>
      <c r="BU36" s="2127" t="s">
        <v>1401</v>
      </c>
      <c r="BV36" s="2127"/>
      <c r="BW36" s="2127"/>
      <c r="BX36" s="2127"/>
      <c r="BY36" s="2127"/>
      <c r="BZ36" s="2127"/>
      <c r="CA36" s="2127"/>
      <c r="CB36" s="2128"/>
      <c r="CC36" s="2030">
        <f>(CC22*CA22+CC25*CA25+CC27*CA27+CC29*CA29+CC31*CA31+CC33*CA33+CC34*CA34)+CC21+BG29+BG46</f>
        <v>294670</v>
      </c>
      <c r="CD36" s="2031"/>
      <c r="CE36" s="2032"/>
      <c r="CF36" s="2030">
        <f>(CF22*CA22+CF25*CA25+CF27*CA27+CF29*CA29+CF31*CA31+CF33*CA33+CF34*CA34)+CF21+BI29+BI46</f>
        <v>35490</v>
      </c>
      <c r="CG36" s="2031"/>
      <c r="CH36" s="2032"/>
      <c r="CI36" s="2030">
        <f>(CI22*CA22+CI25*CA25+CI27*CA27+CI29*CA29+CI31*CA31+CI33*CA33+CI34*CA34)+CI21+BJ29+BJ46</f>
        <v>24050</v>
      </c>
      <c r="CJ36" s="2031"/>
      <c r="CK36" s="2032"/>
      <c r="CL36" s="2030">
        <f>(CL22*CA22+CL25*CA25+CL27*CA27+CL29*CA29+CL31*CA31+CL33*CA33+CL34*CA34)+CL21+BK29+BK46</f>
        <v>0</v>
      </c>
      <c r="CM36" s="2031"/>
      <c r="CN36" s="2032"/>
      <c r="CO36" s="2030">
        <f>(CO22*CA22+CO25*CA25+CO27*CA27+CO29*CA29+CO31*CA31+CO33*CA33+CO34*CA34)+CO21+BL29+BL46</f>
        <v>0</v>
      </c>
      <c r="CP36" s="2031"/>
      <c r="CQ36" s="2032"/>
      <c r="CR36" s="931">
        <f>(CR22*CA22+CR25*CA25+CR27*CA27+CR29*CA29+CR31*CA31+CR33*CA33+CR34*CA34)+CR21+BM29+BM46</f>
        <v>0</v>
      </c>
      <c r="CS36" s="930">
        <f>(CS22*CB22+CS25*CB25+CS27*CB27+CS29*CB29+CS31*CB31+CS33*CB33+CS34*CB34)+CS21+BO29+BO46</f>
        <v>0</v>
      </c>
      <c r="CT36" s="735">
        <f>SUM(CC36:CS36)</f>
        <v>354210</v>
      </c>
      <c r="CU36" s="15"/>
      <c r="CV36" s="15"/>
      <c r="CW36" s="15"/>
      <c r="CX36" s="24" t="s">
        <v>2968</v>
      </c>
      <c r="CY36" s="19">
        <v>240</v>
      </c>
      <c r="CZ36" s="26"/>
      <c r="DA36" s="31"/>
      <c r="DB36" s="32"/>
    </row>
    <row r="37" spans="1:106" ht="27" customHeight="1" thickBot="1">
      <c r="A37" s="2344"/>
      <c r="B37" s="2334"/>
      <c r="C37" s="2340"/>
      <c r="D37" s="2120" t="s">
        <v>250</v>
      </c>
      <c r="E37" s="2120"/>
      <c r="F37" s="2120"/>
      <c r="G37" s="2120"/>
      <c r="H37" s="909">
        <v>1100</v>
      </c>
      <c r="I37" s="912">
        <f t="shared" si="14"/>
        <v>0</v>
      </c>
      <c r="J37" s="2584"/>
      <c r="K37" s="2585"/>
      <c r="L37" s="949"/>
      <c r="M37" s="949"/>
      <c r="N37" s="949"/>
      <c r="O37" s="949"/>
      <c r="P37" s="2313"/>
      <c r="Q37" s="2346"/>
      <c r="R37" s="2313"/>
      <c r="S37" s="2314"/>
      <c r="T37" s="2048">
        <f t="shared" si="12"/>
        <v>0</v>
      </c>
      <c r="U37" s="2049"/>
      <c r="V37" s="732"/>
      <c r="W37" s="2564"/>
      <c r="X37" s="2307" t="s">
        <v>1402</v>
      </c>
      <c r="Y37" s="2307"/>
      <c r="Z37" s="2307"/>
      <c r="AA37" s="2307"/>
      <c r="AB37" s="2307"/>
      <c r="AC37" s="2307"/>
      <c r="AD37" s="2307"/>
      <c r="AE37" s="2308"/>
      <c r="AF37" s="2033">
        <f>(J29-AF36)*-1</f>
        <v>0</v>
      </c>
      <c r="AG37" s="2034"/>
      <c r="AH37" s="2035"/>
      <c r="AI37" s="2053">
        <f>(L29-AI36)*-1</f>
        <v>0</v>
      </c>
      <c r="AJ37" s="2054"/>
      <c r="AK37" s="2055"/>
      <c r="AL37" s="2053">
        <f>(M29-AL36)*-1</f>
        <v>0</v>
      </c>
      <c r="AM37" s="2054"/>
      <c r="AN37" s="2055"/>
      <c r="AO37" s="2053">
        <f>(N29-AO36)*-1</f>
        <v>0</v>
      </c>
      <c r="AP37" s="2054"/>
      <c r="AQ37" s="2055"/>
      <c r="AR37" s="2053">
        <f>(O29-AR36)*-1</f>
        <v>0</v>
      </c>
      <c r="AS37" s="2054"/>
      <c r="AT37" s="2055"/>
      <c r="AU37" s="620">
        <f>(P29-AU36)*-1</f>
        <v>0</v>
      </c>
      <c r="AV37" s="621">
        <f>(R29-AV36)*-1</f>
        <v>0</v>
      </c>
      <c r="AW37" s="795">
        <f>SUM(AF37:AV37)</f>
        <v>0</v>
      </c>
      <c r="AX37" s="2578"/>
      <c r="AY37" s="2008"/>
      <c r="AZ37" s="2013"/>
      <c r="BA37" s="2120" t="s">
        <v>250</v>
      </c>
      <c r="BB37" s="2120"/>
      <c r="BC37" s="2120"/>
      <c r="BD37" s="2120"/>
      <c r="BE37" s="909">
        <v>1100</v>
      </c>
      <c r="BF37" s="912">
        <f t="shared" si="15"/>
        <v>15</v>
      </c>
      <c r="BG37" s="2118"/>
      <c r="BH37" s="2119"/>
      <c r="BI37" s="1028"/>
      <c r="BJ37" s="1028">
        <v>15</v>
      </c>
      <c r="BK37" s="1028"/>
      <c r="BL37" s="1028"/>
      <c r="BM37" s="2141"/>
      <c r="BN37" s="2142"/>
      <c r="BO37" s="2141"/>
      <c r="BP37" s="2143"/>
      <c r="BQ37" s="2048">
        <f>BE37*BF37</f>
        <v>16500</v>
      </c>
      <c r="BR37" s="2049"/>
      <c r="BS37" s="1029"/>
      <c r="BT37" s="2126"/>
      <c r="BU37" s="2058" t="s">
        <v>1402</v>
      </c>
      <c r="BV37" s="2058"/>
      <c r="BW37" s="2058"/>
      <c r="BX37" s="2058"/>
      <c r="BY37" s="2058"/>
      <c r="BZ37" s="2058"/>
      <c r="CA37" s="2058"/>
      <c r="CB37" s="2059"/>
      <c r="CC37" s="2050">
        <f>(BG29-CC36)*-1</f>
        <v>294670</v>
      </c>
      <c r="CD37" s="2051"/>
      <c r="CE37" s="2052"/>
      <c r="CF37" s="2053">
        <f>(BI29-CF36)*-1</f>
        <v>32880</v>
      </c>
      <c r="CG37" s="2054"/>
      <c r="CH37" s="2055"/>
      <c r="CI37" s="2053">
        <f>(BJ29-CI36)*-1</f>
        <v>18250</v>
      </c>
      <c r="CJ37" s="2054"/>
      <c r="CK37" s="2055"/>
      <c r="CL37" s="2053">
        <f>(BK29-CL36)*-1</f>
        <v>0</v>
      </c>
      <c r="CM37" s="2054"/>
      <c r="CN37" s="2055"/>
      <c r="CO37" s="2053">
        <f>(BL29-CO36)*-1</f>
        <v>0</v>
      </c>
      <c r="CP37" s="2054"/>
      <c r="CQ37" s="2055"/>
      <c r="CR37" s="620">
        <f>(BM29-CR36)*-1</f>
        <v>0</v>
      </c>
      <c r="CS37" s="621">
        <f>(BO29-CS36)*-1</f>
        <v>0</v>
      </c>
      <c r="CT37" s="795">
        <f>SUM(CC37:CS37)</f>
        <v>345800</v>
      </c>
      <c r="CU37" s="32"/>
      <c r="CV37" s="32"/>
      <c r="CW37" s="32"/>
      <c r="CX37" s="24" t="s">
        <v>2969</v>
      </c>
      <c r="CY37" s="19">
        <v>240</v>
      </c>
      <c r="CZ37" s="26"/>
      <c r="DA37" s="31"/>
      <c r="DB37" s="32"/>
    </row>
    <row r="38" spans="1:106" ht="27" customHeight="1" thickTop="1">
      <c r="A38" s="2344"/>
      <c r="B38" s="2334"/>
      <c r="C38" s="2352" t="s">
        <v>251</v>
      </c>
      <c r="D38" s="2005" t="s">
        <v>3044</v>
      </c>
      <c r="E38" s="2005"/>
      <c r="F38" s="2005"/>
      <c r="G38" s="2005"/>
      <c r="H38" s="913" t="s">
        <v>3048</v>
      </c>
      <c r="I38" s="910">
        <f t="shared" ref="I38:I44" si="16">SUM(J38:S38)</f>
        <v>0</v>
      </c>
      <c r="J38" s="2331"/>
      <c r="K38" s="2332"/>
      <c r="L38" s="950"/>
      <c r="M38" s="950"/>
      <c r="N38" s="950"/>
      <c r="O38" s="950"/>
      <c r="P38" s="2309"/>
      <c r="Q38" s="2333"/>
      <c r="R38" s="2309"/>
      <c r="S38" s="2310"/>
      <c r="T38" s="2063" t="s">
        <v>3049</v>
      </c>
      <c r="U38" s="2064"/>
      <c r="V38" s="295"/>
      <c r="W38" s="2305" t="s">
        <v>80</v>
      </c>
      <c r="X38" s="2321" t="s">
        <v>1404</v>
      </c>
      <c r="Y38" s="2321"/>
      <c r="Z38" s="2321"/>
      <c r="AA38" s="2321"/>
      <c r="AB38" s="2321"/>
      <c r="AC38" s="2321"/>
      <c r="AD38" s="2321"/>
      <c r="AE38" s="2322"/>
      <c r="AF38" s="2030">
        <f>J29+J46+AF21+AF35</f>
        <v>0</v>
      </c>
      <c r="AG38" s="2031"/>
      <c r="AH38" s="2032"/>
      <c r="AI38" s="2065">
        <f>L29+L46+AI21+AI35</f>
        <v>0</v>
      </c>
      <c r="AJ38" s="2066"/>
      <c r="AK38" s="2067"/>
      <c r="AL38" s="2065">
        <f>M29+M46+AL21+AL35</f>
        <v>0</v>
      </c>
      <c r="AM38" s="2066"/>
      <c r="AN38" s="2067"/>
      <c r="AO38" s="2068">
        <f>N29+N46+AO21+AO35</f>
        <v>0</v>
      </c>
      <c r="AP38" s="2069"/>
      <c r="AQ38" s="2070"/>
      <c r="AR38" s="2068">
        <f>O29+O46+AR21+AR35</f>
        <v>0</v>
      </c>
      <c r="AS38" s="2069"/>
      <c r="AT38" s="2070"/>
      <c r="AU38" s="618">
        <f>P29+P46+AU21+AU35</f>
        <v>0</v>
      </c>
      <c r="AV38" s="619">
        <f>R29+R46+AV21+AV35</f>
        <v>0</v>
      </c>
      <c r="AW38" s="734">
        <f>SUM(AF38:AV38)</f>
        <v>0</v>
      </c>
      <c r="AX38" s="2578"/>
      <c r="AY38" s="2008"/>
      <c r="AZ38" s="2002" t="s">
        <v>251</v>
      </c>
      <c r="BA38" s="2005" t="s">
        <v>3044</v>
      </c>
      <c r="BB38" s="2005"/>
      <c r="BC38" s="2005"/>
      <c r="BD38" s="2005"/>
      <c r="BE38" s="913" t="s">
        <v>3048</v>
      </c>
      <c r="BF38" s="910">
        <f t="shared" si="15"/>
        <v>0</v>
      </c>
      <c r="BG38" s="2006"/>
      <c r="BH38" s="2007"/>
      <c r="BI38" s="1030"/>
      <c r="BJ38" s="1030"/>
      <c r="BK38" s="1030"/>
      <c r="BL38" s="1030"/>
      <c r="BM38" s="2060"/>
      <c r="BN38" s="2061"/>
      <c r="BO38" s="2060"/>
      <c r="BP38" s="2062"/>
      <c r="BQ38" s="2063" t="s">
        <v>3049</v>
      </c>
      <c r="BR38" s="2064"/>
      <c r="BS38" s="1027"/>
      <c r="BT38" s="2081" t="s">
        <v>80</v>
      </c>
      <c r="BU38" s="2056" t="s">
        <v>1404</v>
      </c>
      <c r="BV38" s="2056"/>
      <c r="BW38" s="2056"/>
      <c r="BX38" s="2056"/>
      <c r="BY38" s="2056"/>
      <c r="BZ38" s="2056"/>
      <c r="CA38" s="2056"/>
      <c r="CB38" s="2057"/>
      <c r="CC38" s="2030">
        <f>BG29+BG46+CC21+CC35</f>
        <v>294670</v>
      </c>
      <c r="CD38" s="2031"/>
      <c r="CE38" s="2032"/>
      <c r="CF38" s="2065">
        <f>BI29+BI46+CF21+CF35</f>
        <v>35490</v>
      </c>
      <c r="CG38" s="2066"/>
      <c r="CH38" s="2067"/>
      <c r="CI38" s="2065">
        <f>BJ29+BJ46+CI21+CI35</f>
        <v>24050</v>
      </c>
      <c r="CJ38" s="2066"/>
      <c r="CK38" s="2067"/>
      <c r="CL38" s="2068">
        <f>BK29+BK46+CL21+CL35</f>
        <v>0</v>
      </c>
      <c r="CM38" s="2069"/>
      <c r="CN38" s="2070"/>
      <c r="CO38" s="2068">
        <f>BL29+BL46+CO21+CO35</f>
        <v>0</v>
      </c>
      <c r="CP38" s="2069"/>
      <c r="CQ38" s="2070"/>
      <c r="CR38" s="931">
        <f>BM29+BM46+CR21+CR35</f>
        <v>0</v>
      </c>
      <c r="CS38" s="930">
        <f>BO29+BO46+CS21+CS35</f>
        <v>0</v>
      </c>
      <c r="CT38" s="734">
        <f>SUM(CC38:CS38)</f>
        <v>354210</v>
      </c>
      <c r="CU38" s="15"/>
      <c r="CV38" s="15"/>
      <c r="CW38" s="15"/>
      <c r="CX38" s="24" t="s">
        <v>2970</v>
      </c>
      <c r="CY38" s="362">
        <v>240</v>
      </c>
      <c r="DB38" s="32"/>
    </row>
    <row r="39" spans="1:106" ht="27" customHeight="1" thickBot="1">
      <c r="A39" s="2344"/>
      <c r="B39" s="2334"/>
      <c r="C39" s="2338"/>
      <c r="D39" s="2015" t="s">
        <v>3045</v>
      </c>
      <c r="E39" s="2015"/>
      <c r="F39" s="2015"/>
      <c r="G39" s="2015"/>
      <c r="H39" s="577">
        <v>110</v>
      </c>
      <c r="I39" s="578">
        <f t="shared" si="16"/>
        <v>0</v>
      </c>
      <c r="J39" s="2341"/>
      <c r="K39" s="2315"/>
      <c r="L39" s="885"/>
      <c r="M39" s="579"/>
      <c r="N39" s="885"/>
      <c r="O39" s="579"/>
      <c r="P39" s="2315"/>
      <c r="Q39" s="2315"/>
      <c r="R39" s="2315"/>
      <c r="S39" s="2316"/>
      <c r="T39" s="2048">
        <f>H39*I39</f>
        <v>0</v>
      </c>
      <c r="U39" s="2049"/>
      <c r="V39" s="295"/>
      <c r="W39" s="2306"/>
      <c r="X39" s="2307" t="s">
        <v>1403</v>
      </c>
      <c r="Y39" s="2307"/>
      <c r="Z39" s="2307"/>
      <c r="AA39" s="2307"/>
      <c r="AB39" s="2307"/>
      <c r="AC39" s="2307"/>
      <c r="AD39" s="2307"/>
      <c r="AE39" s="2308"/>
      <c r="AF39" s="2033">
        <f>(J29-AF38)*-1</f>
        <v>0</v>
      </c>
      <c r="AG39" s="2034"/>
      <c r="AH39" s="2035"/>
      <c r="AI39" s="2033">
        <f>(L29-AI38)*-1</f>
        <v>0</v>
      </c>
      <c r="AJ39" s="2034"/>
      <c r="AK39" s="2035"/>
      <c r="AL39" s="2033">
        <f>(M29-AL38)*-1</f>
        <v>0</v>
      </c>
      <c r="AM39" s="2034"/>
      <c r="AN39" s="2035"/>
      <c r="AO39" s="2033">
        <f>(N29-AO38)*-1</f>
        <v>0</v>
      </c>
      <c r="AP39" s="2034"/>
      <c r="AQ39" s="2035"/>
      <c r="AR39" s="2033">
        <f>(O29-AR38)*-1</f>
        <v>0</v>
      </c>
      <c r="AS39" s="2034"/>
      <c r="AT39" s="2035"/>
      <c r="AU39" s="622">
        <f>(P29-AU38)*-1</f>
        <v>0</v>
      </c>
      <c r="AV39" s="623">
        <f>(R29-AV38)*-1</f>
        <v>0</v>
      </c>
      <c r="AW39" s="796">
        <f>SUM(AF39:AV39)</f>
        <v>0</v>
      </c>
      <c r="AX39" s="2578"/>
      <c r="AY39" s="2008"/>
      <c r="AZ39" s="2003"/>
      <c r="BA39" s="2015" t="s">
        <v>3045</v>
      </c>
      <c r="BB39" s="2015"/>
      <c r="BC39" s="2015"/>
      <c r="BD39" s="2015"/>
      <c r="BE39" s="577">
        <v>110</v>
      </c>
      <c r="BF39" s="578">
        <f t="shared" si="15"/>
        <v>0</v>
      </c>
      <c r="BG39" s="2042"/>
      <c r="BH39" s="1987"/>
      <c r="BI39" s="1014"/>
      <c r="BJ39" s="1018"/>
      <c r="BK39" s="1014"/>
      <c r="BL39" s="1018"/>
      <c r="BM39" s="1987"/>
      <c r="BN39" s="1987"/>
      <c r="BO39" s="1987"/>
      <c r="BP39" s="1988"/>
      <c r="BQ39" s="2048">
        <f>BE39*BF39</f>
        <v>0</v>
      </c>
      <c r="BR39" s="2049"/>
      <c r="BS39" s="1027"/>
      <c r="BT39" s="2082"/>
      <c r="BU39" s="2058" t="s">
        <v>1403</v>
      </c>
      <c r="BV39" s="2058"/>
      <c r="BW39" s="2058"/>
      <c r="BX39" s="2058"/>
      <c r="BY39" s="2058"/>
      <c r="BZ39" s="2058"/>
      <c r="CA39" s="2058"/>
      <c r="CB39" s="2059"/>
      <c r="CC39" s="2050">
        <f>(BG29-CC38)*-1</f>
        <v>294670</v>
      </c>
      <c r="CD39" s="2051"/>
      <c r="CE39" s="2052"/>
      <c r="CF39" s="2033">
        <f>(BI29-CF38)*-1</f>
        <v>32880</v>
      </c>
      <c r="CG39" s="2034"/>
      <c r="CH39" s="2035"/>
      <c r="CI39" s="2033">
        <f>(BJ29-CI38)*-1</f>
        <v>18250</v>
      </c>
      <c r="CJ39" s="2034"/>
      <c r="CK39" s="2035"/>
      <c r="CL39" s="2033">
        <f>(BK29-CL38)*-1</f>
        <v>0</v>
      </c>
      <c r="CM39" s="2034"/>
      <c r="CN39" s="2035"/>
      <c r="CO39" s="2033">
        <f>(BL29-CO38)*-1</f>
        <v>0</v>
      </c>
      <c r="CP39" s="2034"/>
      <c r="CQ39" s="2035"/>
      <c r="CR39" s="622">
        <f>(BM29-CR38)*-1</f>
        <v>0</v>
      </c>
      <c r="CS39" s="623">
        <f>(BO29-CS38)*-1</f>
        <v>0</v>
      </c>
      <c r="CT39" s="796">
        <f>SUM(CC39:CS39)</f>
        <v>345800</v>
      </c>
      <c r="CU39" s="15"/>
      <c r="CV39" s="15"/>
      <c r="CW39" s="15"/>
      <c r="CX39" s="24" t="s">
        <v>2979</v>
      </c>
      <c r="CY39" s="19">
        <v>440</v>
      </c>
      <c r="DB39" s="32"/>
    </row>
    <row r="40" spans="1:106" ht="27" customHeight="1" thickTop="1">
      <c r="A40" s="2344"/>
      <c r="B40" s="2334"/>
      <c r="C40" s="2338"/>
      <c r="D40" s="2015" t="s">
        <v>241</v>
      </c>
      <c r="E40" s="2015"/>
      <c r="F40" s="2015"/>
      <c r="G40" s="2015"/>
      <c r="H40" s="577">
        <v>110</v>
      </c>
      <c r="I40" s="578">
        <f t="shared" si="16"/>
        <v>0</v>
      </c>
      <c r="J40" s="2341"/>
      <c r="K40" s="2315"/>
      <c r="L40" s="885"/>
      <c r="M40" s="579"/>
      <c r="N40" s="885"/>
      <c r="O40" s="579"/>
      <c r="P40" s="2315"/>
      <c r="Q40" s="2315"/>
      <c r="R40" s="2315"/>
      <c r="S40" s="2316"/>
      <c r="T40" s="2048" t="s">
        <v>3049</v>
      </c>
      <c r="U40" s="2049"/>
      <c r="V40" s="3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578"/>
      <c r="AY40" s="2008"/>
      <c r="AZ40" s="2003"/>
      <c r="BA40" s="2015" t="s">
        <v>241</v>
      </c>
      <c r="BB40" s="2015"/>
      <c r="BC40" s="2015"/>
      <c r="BD40" s="2015"/>
      <c r="BE40" s="577">
        <v>110</v>
      </c>
      <c r="BF40" s="578">
        <f t="shared" si="15"/>
        <v>0</v>
      </c>
      <c r="BG40" s="2042"/>
      <c r="BH40" s="1987"/>
      <c r="BI40" s="1014"/>
      <c r="BJ40" s="1018"/>
      <c r="BK40" s="1014"/>
      <c r="BL40" s="1018"/>
      <c r="BM40" s="1987"/>
      <c r="BN40" s="1987"/>
      <c r="BO40" s="1987"/>
      <c r="BP40" s="1988"/>
      <c r="BQ40" s="2048" t="s">
        <v>3049</v>
      </c>
      <c r="BR40" s="2049"/>
      <c r="BS40" s="957"/>
      <c r="BT40" s="1031"/>
      <c r="BU40" s="1031"/>
      <c r="BV40" s="1031"/>
      <c r="BW40" s="1031"/>
      <c r="BX40" s="1031"/>
      <c r="BY40" s="1031"/>
      <c r="BZ40" s="1031"/>
      <c r="CA40" s="1031"/>
      <c r="CB40" s="1031"/>
      <c r="CC40" s="1031"/>
      <c r="CD40" s="1031"/>
      <c r="CE40" s="1031"/>
      <c r="CF40" s="1031"/>
      <c r="CG40" s="1031"/>
      <c r="CH40" s="1031"/>
      <c r="CI40" s="1031"/>
      <c r="CJ40" s="1031"/>
      <c r="CK40" s="1031"/>
      <c r="CL40" s="1031"/>
      <c r="CM40" s="1031"/>
      <c r="CN40" s="1031"/>
      <c r="CO40" s="1031"/>
      <c r="CP40" s="1031"/>
      <c r="CQ40" s="1031"/>
      <c r="CR40" s="1031"/>
      <c r="CS40" s="1031"/>
      <c r="CT40" s="1031"/>
      <c r="CU40" s="15"/>
      <c r="CV40" s="15"/>
      <c r="CW40" s="15"/>
      <c r="CX40" s="24" t="s">
        <v>2971</v>
      </c>
      <c r="CY40" s="19">
        <v>440</v>
      </c>
    </row>
    <row r="41" spans="1:106" ht="27" customHeight="1">
      <c r="A41" s="2344"/>
      <c r="B41" s="2334"/>
      <c r="C41" s="2338"/>
      <c r="D41" s="2015" t="s">
        <v>3046</v>
      </c>
      <c r="E41" s="2015"/>
      <c r="F41" s="2015"/>
      <c r="G41" s="2015"/>
      <c r="H41" s="577">
        <v>240</v>
      </c>
      <c r="I41" s="578">
        <f t="shared" si="16"/>
        <v>0</v>
      </c>
      <c r="J41" s="2341"/>
      <c r="K41" s="2315"/>
      <c r="L41" s="885"/>
      <c r="M41" s="579"/>
      <c r="N41" s="885"/>
      <c r="O41" s="579"/>
      <c r="P41" s="2315"/>
      <c r="Q41" s="2315"/>
      <c r="R41" s="2315"/>
      <c r="S41" s="2316"/>
      <c r="T41" s="2048">
        <f>H41*I41</f>
        <v>0</v>
      </c>
      <c r="U41" s="2049"/>
      <c r="V41" s="34"/>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2578"/>
      <c r="AY41" s="2008"/>
      <c r="AZ41" s="2003"/>
      <c r="BA41" s="2015" t="s">
        <v>3046</v>
      </c>
      <c r="BB41" s="2015"/>
      <c r="BC41" s="2015"/>
      <c r="BD41" s="2015"/>
      <c r="BE41" s="577">
        <v>240</v>
      </c>
      <c r="BF41" s="578">
        <f t="shared" si="15"/>
        <v>0</v>
      </c>
      <c r="BG41" s="2042"/>
      <c r="BH41" s="1987"/>
      <c r="BI41" s="1014"/>
      <c r="BJ41" s="1018"/>
      <c r="BK41" s="1014"/>
      <c r="BL41" s="1018"/>
      <c r="BM41" s="1987"/>
      <c r="BN41" s="1987"/>
      <c r="BO41" s="1987"/>
      <c r="BP41" s="1988"/>
      <c r="BQ41" s="2048">
        <f>BE41*BF41</f>
        <v>0</v>
      </c>
      <c r="BR41" s="2049"/>
      <c r="BS41" s="957"/>
      <c r="BT41" s="1031"/>
      <c r="BU41" s="1031"/>
      <c r="BV41" s="1031"/>
      <c r="BW41" s="1031"/>
      <c r="BX41" s="1031"/>
      <c r="BY41" s="1031"/>
      <c r="BZ41" s="1031"/>
      <c r="CA41" s="1031"/>
      <c r="CB41" s="1031"/>
      <c r="CC41" s="1031"/>
      <c r="CD41" s="1031"/>
      <c r="CE41" s="1031"/>
      <c r="CF41" s="1031"/>
      <c r="CG41" s="1031"/>
      <c r="CH41" s="1031"/>
      <c r="CI41" s="1031"/>
      <c r="CJ41" s="1031"/>
      <c r="CK41" s="1031"/>
      <c r="CL41" s="1031"/>
      <c r="CM41" s="1031"/>
      <c r="CN41" s="1031"/>
      <c r="CO41" s="1031"/>
      <c r="CP41" s="1031"/>
      <c r="CQ41" s="1031"/>
      <c r="CR41" s="1031"/>
      <c r="CS41" s="1031"/>
      <c r="CT41" s="1031"/>
      <c r="CU41" s="15"/>
      <c r="CV41" s="15"/>
      <c r="CW41" s="15"/>
      <c r="CX41" s="24" t="s">
        <v>2972</v>
      </c>
      <c r="CY41" s="362">
        <v>440</v>
      </c>
    </row>
    <row r="42" spans="1:106" ht="27" customHeight="1">
      <c r="A42" s="2344"/>
      <c r="B42" s="2334"/>
      <c r="C42" s="2338"/>
      <c r="D42" s="1982" t="s">
        <v>452</v>
      </c>
      <c r="E42" s="1983"/>
      <c r="F42" s="1984"/>
      <c r="G42" s="1985"/>
      <c r="H42" s="577">
        <v>110</v>
      </c>
      <c r="I42" s="574">
        <f t="shared" si="16"/>
        <v>0</v>
      </c>
      <c r="J42" s="2332"/>
      <c r="K42" s="2317"/>
      <c r="L42" s="947"/>
      <c r="M42" s="948"/>
      <c r="N42" s="947"/>
      <c r="O42" s="948"/>
      <c r="P42" s="2317"/>
      <c r="Q42" s="2317"/>
      <c r="R42" s="2317"/>
      <c r="S42" s="2318"/>
      <c r="T42" s="2038">
        <f>H42*I42</f>
        <v>0</v>
      </c>
      <c r="U42" s="2039"/>
      <c r="V42" s="34"/>
      <c r="W42" s="446"/>
      <c r="X42" s="386"/>
      <c r="Y42" s="386"/>
      <c r="Z42" s="386"/>
      <c r="AA42" s="444"/>
      <c r="AB42" s="444"/>
      <c r="AC42" s="444"/>
      <c r="AD42" s="442"/>
      <c r="AE42" s="443"/>
      <c r="AF42" s="443"/>
      <c r="AG42" s="442"/>
      <c r="AH42" s="442"/>
      <c r="AI42" s="442"/>
      <c r="AJ42" s="442"/>
      <c r="AK42" s="442"/>
      <c r="AL42" s="442"/>
      <c r="AM42" s="442"/>
      <c r="AN42" s="442"/>
      <c r="AO42" s="442"/>
      <c r="AP42" s="442"/>
      <c r="AQ42" s="442"/>
      <c r="AR42" s="442"/>
      <c r="AS42" s="442"/>
      <c r="AT42" s="386"/>
      <c r="AU42" s="386"/>
      <c r="AV42" s="386"/>
      <c r="AW42" s="386"/>
      <c r="AX42" s="2578"/>
      <c r="AY42" s="2008"/>
      <c r="AZ42" s="2003"/>
      <c r="BA42" s="1982" t="s">
        <v>452</v>
      </c>
      <c r="BB42" s="1983"/>
      <c r="BC42" s="1984"/>
      <c r="BD42" s="1985"/>
      <c r="BE42" s="577">
        <v>110</v>
      </c>
      <c r="BF42" s="1001">
        <f t="shared" si="15"/>
        <v>0</v>
      </c>
      <c r="BG42" s="2007"/>
      <c r="BH42" s="2040"/>
      <c r="BI42" s="1022"/>
      <c r="BJ42" s="1023"/>
      <c r="BK42" s="1022"/>
      <c r="BL42" s="1023"/>
      <c r="BM42" s="2040"/>
      <c r="BN42" s="2040"/>
      <c r="BO42" s="2040"/>
      <c r="BP42" s="2041"/>
      <c r="BQ42" s="2038">
        <f>BE42*BF42</f>
        <v>0</v>
      </c>
      <c r="BR42" s="2039"/>
      <c r="BS42" s="957"/>
      <c r="BT42" s="1032"/>
      <c r="BU42" s="1033"/>
      <c r="BV42" s="1033"/>
      <c r="BW42" s="1033"/>
      <c r="BX42" s="1034"/>
      <c r="BY42" s="1034"/>
      <c r="BZ42" s="1034"/>
      <c r="CA42" s="1035"/>
      <c r="CB42" s="1036"/>
      <c r="CC42" s="1036"/>
      <c r="CD42" s="1035"/>
      <c r="CE42" s="1035"/>
      <c r="CF42" s="1035"/>
      <c r="CG42" s="1035"/>
      <c r="CH42" s="1035"/>
      <c r="CI42" s="1035"/>
      <c r="CJ42" s="1035"/>
      <c r="CK42" s="1035"/>
      <c r="CL42" s="1035"/>
      <c r="CM42" s="1035"/>
      <c r="CN42" s="1035"/>
      <c r="CO42" s="1035"/>
      <c r="CP42" s="1035"/>
      <c r="CQ42" s="1033"/>
      <c r="CR42" s="1033"/>
      <c r="CS42" s="1033"/>
      <c r="CT42" s="1033"/>
      <c r="CU42" s="15"/>
      <c r="CV42" s="15"/>
      <c r="CW42" s="15"/>
      <c r="CX42" s="2028" t="s">
        <v>120</v>
      </c>
      <c r="CY42" s="2029"/>
      <c r="CZ42" s="15"/>
    </row>
    <row r="43" spans="1:106" ht="27" customHeight="1">
      <c r="A43" s="2344"/>
      <c r="B43" s="2334"/>
      <c r="C43" s="2338"/>
      <c r="D43" s="1982" t="s">
        <v>3047</v>
      </c>
      <c r="E43" s="1983"/>
      <c r="F43" s="1984"/>
      <c r="G43" s="1985"/>
      <c r="H43" s="577">
        <v>240</v>
      </c>
      <c r="I43" s="574">
        <f t="shared" si="16"/>
        <v>0</v>
      </c>
      <c r="J43" s="2342"/>
      <c r="K43" s="2315"/>
      <c r="L43" s="885"/>
      <c r="M43" s="579"/>
      <c r="N43" s="885"/>
      <c r="O43" s="579"/>
      <c r="P43" s="2315"/>
      <c r="Q43" s="2315"/>
      <c r="R43" s="2315"/>
      <c r="S43" s="2316"/>
      <c r="T43" s="2038">
        <f>H43*I43</f>
        <v>0</v>
      </c>
      <c r="U43" s="2039"/>
      <c r="V43" s="34"/>
      <c r="W43" s="446"/>
      <c r="X43" s="445"/>
      <c r="Y43" s="445"/>
      <c r="Z43" s="445"/>
      <c r="AA43" s="385"/>
      <c r="AB43" s="384"/>
      <c r="AC43" s="385"/>
      <c r="AD43" s="385"/>
      <c r="AE43" s="384"/>
      <c r="AF43" s="385"/>
      <c r="AG43" s="385"/>
      <c r="AH43" s="384"/>
      <c r="AI43" s="385"/>
      <c r="AJ43" s="385"/>
      <c r="AK43" s="384"/>
      <c r="AL43" s="438"/>
      <c r="AM43" s="441"/>
      <c r="AN43" s="441"/>
      <c r="AO43" s="441"/>
      <c r="AP43" s="384"/>
      <c r="AQ43" s="441"/>
      <c r="AR43" s="441"/>
      <c r="AS43" s="439"/>
      <c r="AT43" s="440"/>
      <c r="AU43" s="440"/>
      <c r="AV43" s="440"/>
      <c r="AW43" s="440"/>
      <c r="AX43" s="2578"/>
      <c r="AY43" s="2008"/>
      <c r="AZ43" s="2003"/>
      <c r="BA43" s="1982" t="s">
        <v>3047</v>
      </c>
      <c r="BB43" s="1983"/>
      <c r="BC43" s="1984"/>
      <c r="BD43" s="1985"/>
      <c r="BE43" s="577">
        <v>240</v>
      </c>
      <c r="BF43" s="1001">
        <f t="shared" si="15"/>
        <v>0</v>
      </c>
      <c r="BG43" s="1986"/>
      <c r="BH43" s="1987"/>
      <c r="BI43" s="1014"/>
      <c r="BJ43" s="1018"/>
      <c r="BK43" s="1014"/>
      <c r="BL43" s="1018"/>
      <c r="BM43" s="1987"/>
      <c r="BN43" s="1987"/>
      <c r="BO43" s="1987"/>
      <c r="BP43" s="1988"/>
      <c r="BQ43" s="2038">
        <f>BE43*BF43</f>
        <v>0</v>
      </c>
      <c r="BR43" s="2039"/>
      <c r="BS43" s="957"/>
      <c r="BT43" s="1032"/>
      <c r="BU43" s="1037"/>
      <c r="BV43" s="1037"/>
      <c r="BW43" s="1037"/>
      <c r="BX43" s="1038"/>
      <c r="BY43" s="1039"/>
      <c r="BZ43" s="1038"/>
      <c r="CA43" s="1038"/>
      <c r="CB43" s="1039"/>
      <c r="CC43" s="1038"/>
      <c r="CD43" s="1038"/>
      <c r="CE43" s="1039"/>
      <c r="CF43" s="1038"/>
      <c r="CG43" s="1038"/>
      <c r="CH43" s="1039"/>
      <c r="CI43" s="1040"/>
      <c r="CJ43" s="1041"/>
      <c r="CK43" s="1041"/>
      <c r="CL43" s="1041"/>
      <c r="CM43" s="1039"/>
      <c r="CN43" s="1041"/>
      <c r="CO43" s="1041"/>
      <c r="CP43" s="1042"/>
      <c r="CQ43" s="77"/>
      <c r="CR43" s="77"/>
      <c r="CS43" s="77"/>
      <c r="CT43" s="77"/>
      <c r="CU43" s="15"/>
      <c r="CV43" s="15"/>
      <c r="CW43" s="15"/>
      <c r="CX43" s="24" t="s">
        <v>2895</v>
      </c>
      <c r="CY43" s="19">
        <v>90</v>
      </c>
      <c r="CZ43" s="15"/>
    </row>
    <row r="44" spans="1:106" ht="27" customHeight="1">
      <c r="A44" s="2344"/>
      <c r="B44" s="2334"/>
      <c r="C44" s="2338"/>
      <c r="D44" s="2015" t="s">
        <v>249</v>
      </c>
      <c r="E44" s="2015"/>
      <c r="F44" s="2015"/>
      <c r="G44" s="2015"/>
      <c r="H44" s="908" t="s">
        <v>3048</v>
      </c>
      <c r="I44" s="941">
        <f t="shared" si="16"/>
        <v>0</v>
      </c>
      <c r="J44" s="2342"/>
      <c r="K44" s="2315"/>
      <c r="L44" s="885"/>
      <c r="M44" s="579"/>
      <c r="N44" s="885"/>
      <c r="O44" s="579"/>
      <c r="P44" s="2315"/>
      <c r="Q44" s="2315"/>
      <c r="R44" s="2315"/>
      <c r="S44" s="2316"/>
      <c r="T44" s="2079" t="s">
        <v>3049</v>
      </c>
      <c r="U44" s="2080"/>
      <c r="V44" s="35"/>
      <c r="W44" s="446"/>
      <c r="X44" s="445"/>
      <c r="Y44" s="445"/>
      <c r="Z44" s="445"/>
      <c r="AA44" s="385"/>
      <c r="AB44" s="384"/>
      <c r="AC44" s="385"/>
      <c r="AD44" s="385"/>
      <c r="AE44" s="384"/>
      <c r="AF44" s="385"/>
      <c r="AG44" s="385"/>
      <c r="AH44" s="384"/>
      <c r="AI44" s="385"/>
      <c r="AJ44" s="385"/>
      <c r="AK44" s="384"/>
      <c r="AL44" s="438"/>
      <c r="AM44" s="441"/>
      <c r="AN44" s="441"/>
      <c r="AO44" s="441"/>
      <c r="AP44" s="384"/>
      <c r="AQ44" s="441"/>
      <c r="AR44" s="441"/>
      <c r="AS44" s="439"/>
      <c r="AT44" s="440"/>
      <c r="AU44" s="440"/>
      <c r="AV44" s="440"/>
      <c r="AW44" s="440"/>
      <c r="AX44" s="2578"/>
      <c r="AY44" s="2008"/>
      <c r="AZ44" s="2003"/>
      <c r="BA44" s="2015" t="s">
        <v>249</v>
      </c>
      <c r="BB44" s="2015"/>
      <c r="BC44" s="2015"/>
      <c r="BD44" s="2015"/>
      <c r="BE44" s="908" t="s">
        <v>3048</v>
      </c>
      <c r="BF44" s="1043">
        <f t="shared" si="15"/>
        <v>0</v>
      </c>
      <c r="BG44" s="1986"/>
      <c r="BH44" s="1987"/>
      <c r="BI44" s="1014"/>
      <c r="BJ44" s="1018"/>
      <c r="BK44" s="1014"/>
      <c r="BL44" s="1018"/>
      <c r="BM44" s="1987"/>
      <c r="BN44" s="1987"/>
      <c r="BO44" s="1987"/>
      <c r="BP44" s="1988"/>
      <c r="BQ44" s="2079" t="s">
        <v>3049</v>
      </c>
      <c r="BR44" s="2080"/>
      <c r="BS44" s="957"/>
      <c r="BT44" s="1032"/>
      <c r="BU44" s="1037"/>
      <c r="BV44" s="1037"/>
      <c r="BW44" s="1037"/>
      <c r="BX44" s="1038"/>
      <c r="BY44" s="1039"/>
      <c r="BZ44" s="1038"/>
      <c r="CA44" s="1038"/>
      <c r="CB44" s="1039"/>
      <c r="CC44" s="1038"/>
      <c r="CD44" s="1038"/>
      <c r="CE44" s="1039"/>
      <c r="CF44" s="1038"/>
      <c r="CG44" s="1038"/>
      <c r="CH44" s="1039"/>
      <c r="CI44" s="1040"/>
      <c r="CJ44" s="1041"/>
      <c r="CK44" s="1041"/>
      <c r="CL44" s="1041"/>
      <c r="CM44" s="1039"/>
      <c r="CN44" s="1041"/>
      <c r="CO44" s="1041"/>
      <c r="CP44" s="1042"/>
      <c r="CQ44" s="77"/>
      <c r="CR44" s="77"/>
      <c r="CS44" s="77"/>
      <c r="CT44" s="77"/>
      <c r="CU44" s="15"/>
      <c r="CV44" s="15"/>
      <c r="CW44" s="15"/>
      <c r="CX44" s="24" t="s">
        <v>2898</v>
      </c>
      <c r="CY44" s="19">
        <v>90</v>
      </c>
      <c r="CZ44" s="15"/>
    </row>
    <row r="45" spans="1:106" ht="27" customHeight="1" thickBot="1">
      <c r="A45" s="2344"/>
      <c r="B45" s="2334"/>
      <c r="C45" s="2353"/>
      <c r="D45" s="2576" t="s">
        <v>250</v>
      </c>
      <c r="E45" s="2576"/>
      <c r="F45" s="2576"/>
      <c r="G45" s="2576"/>
      <c r="H45" s="914">
        <v>350</v>
      </c>
      <c r="I45" s="942">
        <f>SUM(J45:S45)</f>
        <v>0</v>
      </c>
      <c r="J45" s="2354"/>
      <c r="K45" s="2348"/>
      <c r="L45" s="951"/>
      <c r="M45" s="951"/>
      <c r="N45" s="951"/>
      <c r="O45" s="951"/>
      <c r="P45" s="2347"/>
      <c r="Q45" s="2348"/>
      <c r="R45" s="2347"/>
      <c r="S45" s="2354"/>
      <c r="T45" s="2077">
        <f>H45*I45</f>
        <v>0</v>
      </c>
      <c r="U45" s="2078"/>
      <c r="V45" s="35"/>
      <c r="W45" s="446"/>
      <c r="X45" s="445"/>
      <c r="Y45" s="445"/>
      <c r="Z45" s="445"/>
      <c r="AA45" s="385"/>
      <c r="AB45" s="384"/>
      <c r="AC45" s="385"/>
      <c r="AD45" s="385"/>
      <c r="AE45" s="384"/>
      <c r="AF45" s="385"/>
      <c r="AG45" s="385"/>
      <c r="AH45" s="384"/>
      <c r="AI45" s="385"/>
      <c r="AJ45" s="385"/>
      <c r="AK45" s="384"/>
      <c r="AL45" s="438"/>
      <c r="AM45" s="441"/>
      <c r="AN45" s="441"/>
      <c r="AO45" s="441"/>
      <c r="AP45" s="384"/>
      <c r="AQ45" s="441"/>
      <c r="AR45" s="441"/>
      <c r="AS45" s="439"/>
      <c r="AT45" s="440"/>
      <c r="AU45" s="440"/>
      <c r="AV45" s="440"/>
      <c r="AW45" s="440"/>
      <c r="AX45" s="2578"/>
      <c r="AY45" s="2008"/>
      <c r="AZ45" s="2004"/>
      <c r="BA45" s="2576" t="s">
        <v>250</v>
      </c>
      <c r="BB45" s="2576"/>
      <c r="BC45" s="2576"/>
      <c r="BD45" s="2576"/>
      <c r="BE45" s="914">
        <v>350</v>
      </c>
      <c r="BF45" s="1044">
        <f>SUM(BG45:BP45)</f>
        <v>5</v>
      </c>
      <c r="BG45" s="2074"/>
      <c r="BH45" s="2075"/>
      <c r="BI45" s="1045"/>
      <c r="BJ45" s="1045">
        <v>5</v>
      </c>
      <c r="BK45" s="1045"/>
      <c r="BL45" s="1045"/>
      <c r="BM45" s="2076"/>
      <c r="BN45" s="2075"/>
      <c r="BO45" s="2076"/>
      <c r="BP45" s="2074"/>
      <c r="BQ45" s="2077">
        <f>BE45*BF45</f>
        <v>1750</v>
      </c>
      <c r="BR45" s="2078"/>
      <c r="BS45" s="957"/>
      <c r="BT45" s="1032"/>
      <c r="BU45" s="1037"/>
      <c r="BV45" s="1037"/>
      <c r="BW45" s="1037"/>
      <c r="BX45" s="1038"/>
      <c r="BY45" s="1039"/>
      <c r="BZ45" s="1038"/>
      <c r="CA45" s="1038"/>
      <c r="CB45" s="1039"/>
      <c r="CC45" s="1038"/>
      <c r="CD45" s="1038"/>
      <c r="CE45" s="1039"/>
      <c r="CF45" s="1038"/>
      <c r="CG45" s="1038"/>
      <c r="CH45" s="1039"/>
      <c r="CI45" s="1040"/>
      <c r="CJ45" s="1041"/>
      <c r="CK45" s="1041"/>
      <c r="CL45" s="1041"/>
      <c r="CM45" s="1039"/>
      <c r="CN45" s="1041"/>
      <c r="CO45" s="1041"/>
      <c r="CP45" s="1042"/>
      <c r="CQ45" s="77"/>
      <c r="CR45" s="77"/>
      <c r="CS45" s="77"/>
      <c r="CT45" s="77"/>
      <c r="CU45" s="15"/>
      <c r="CV45" s="15"/>
      <c r="CW45" s="15"/>
      <c r="CX45" s="24" t="s">
        <v>2899</v>
      </c>
      <c r="CY45" s="19">
        <v>90</v>
      </c>
      <c r="CZ45" s="15"/>
    </row>
    <row r="46" spans="1:106" ht="27" customHeight="1" thickTop="1" thickBot="1">
      <c r="A46" s="2345"/>
      <c r="B46" s="2336"/>
      <c r="C46" s="2349" t="s">
        <v>563</v>
      </c>
      <c r="D46" s="2350"/>
      <c r="E46" s="2350"/>
      <c r="F46" s="2350"/>
      <c r="G46" s="2350"/>
      <c r="H46" s="2351"/>
      <c r="I46" s="915">
        <f>SUM(I38:I45)</f>
        <v>0</v>
      </c>
      <c r="J46" s="2355">
        <f>J31*$H$31+J32*$H$32+J33*$H$33+J34*$H$34+J35*$H$35+J37*$H$37+J39*$H$39+J40*$H$40+J41*$H$41+J42*$H$42+J43*$H$43+J45*$H$45</f>
        <v>0</v>
      </c>
      <c r="K46" s="2356"/>
      <c r="L46" s="955">
        <f>L31*$H$31+L32*$H$32+L33*$H$33+L34*$H$34+L35*$H$35+L37*$H$37+L39*$H$39+L40*$H$40+L41*$H$41+L42*$H$42+L43*$H$43+L45*$H$45</f>
        <v>0</v>
      </c>
      <c r="M46" s="955">
        <f t="shared" ref="M46:O46" si="17">M31*$H$31+M32*$H$32+M33*$H$33+M34*$H$34+M35*$H$35+M37*$H$37+M39*$H$39+M40*$H$40+M41*$H$41+M42*$H$42+M43*$H$43+M45*$H$45</f>
        <v>0</v>
      </c>
      <c r="N46" s="955">
        <f t="shared" si="17"/>
        <v>0</v>
      </c>
      <c r="O46" s="955">
        <f t="shared" si="17"/>
        <v>0</v>
      </c>
      <c r="P46" s="2311">
        <f>P31*$H$31+P32*$H$32+P33*$H$33+P34*$H$34+P35*$H$35+P37*$H$37+P39*$H$39+P40*$H$40+P41*$H$41+P42*$H$42+P43*$H$43+P45*$H$45</f>
        <v>0</v>
      </c>
      <c r="Q46" s="2312"/>
      <c r="R46" s="2311">
        <f>R31*$H$31+R32*$H$32+R33*$H$33+R34*$H$34+R35*$H$35+R37*$H$37+R39*$H$39+R40*$H$40+R41*$H$41+R42*$H$42+R43*$H$43+R45*$H$45</f>
        <v>0</v>
      </c>
      <c r="S46" s="2312"/>
      <c r="T46" s="2047">
        <f>SUM(J46:S46)</f>
        <v>0</v>
      </c>
      <c r="U46" s="2047"/>
      <c r="V46" s="95"/>
      <c r="W46" s="446"/>
      <c r="X46" s="445"/>
      <c r="Y46" s="445"/>
      <c r="Z46" s="445"/>
      <c r="AA46" s="385"/>
      <c r="AB46" s="384"/>
      <c r="AC46" s="385"/>
      <c r="AD46" s="385"/>
      <c r="AE46" s="384"/>
      <c r="AF46" s="385"/>
      <c r="AG46" s="385"/>
      <c r="AH46" s="384"/>
      <c r="AI46" s="385"/>
      <c r="AJ46" s="385"/>
      <c r="AK46" s="384"/>
      <c r="AL46" s="438"/>
      <c r="AM46" s="441"/>
      <c r="AN46" s="441"/>
      <c r="AO46" s="441"/>
      <c r="AP46" s="384"/>
      <c r="AQ46" s="441"/>
      <c r="AR46" s="441"/>
      <c r="AS46" s="439"/>
      <c r="AT46" s="440"/>
      <c r="AU46" s="440"/>
      <c r="AV46" s="440"/>
      <c r="AW46" s="440"/>
      <c r="AX46" s="2579"/>
      <c r="AY46" s="2010"/>
      <c r="AZ46" s="2016" t="s">
        <v>563</v>
      </c>
      <c r="BA46" s="2017"/>
      <c r="BB46" s="2017"/>
      <c r="BC46" s="2017"/>
      <c r="BD46" s="2017"/>
      <c r="BE46" s="2018"/>
      <c r="BF46" s="1046">
        <f>BF37+BF45</f>
        <v>20</v>
      </c>
      <c r="BG46" s="2043">
        <f>BG31*$BE$31+BG32*$BE$32+BG33*$BE$33+BG34*$BE$34+BG35*$BE$35+BG37*$BE$37+BG39*$BE$39+BG40*$BE$40+BG41*$BE$41+BG42*$BE$42+BG43*$BE$43+BG45*$BE$45</f>
        <v>32670</v>
      </c>
      <c r="BH46" s="2044"/>
      <c r="BI46" s="580">
        <f>BI31*$BE$31+BI32*$BE$32+BI33*$BE$33+BI34*$BE$34+BI35*$BE$35+BI37*$BE$37+BI39*$BE$39+BI40*$BE$40+BI41*$BE$41+BI42*$BE$42+BI43*$BE$43+BI45*$BE$45</f>
        <v>5680</v>
      </c>
      <c r="BJ46" s="580">
        <f>BJ31*$BE$31+BJ32*$BE$32+BJ33*$BE$33+BJ34*$BE$34+BJ35*$BE$35+BJ37*$BE$37+BJ39*$BE$39+BJ40*$BE$40+BJ41*$BE$41+BJ42*$BE$42+BJ43*$BE$43+BJ45*$BE$45</f>
        <v>18250</v>
      </c>
      <c r="BK46" s="580">
        <f>BK31*$BE$31+BK32*$BE$32+BK33*$BE$33+BK34*$BE$34+BK35*$BE$35+BK37*$BE$37+BK39*$BE$39+BK40*$BE$40+BK41*$BE$41+BK42*$BE$42+BK43*$BE$43+BK45*$BE$45</f>
        <v>0</v>
      </c>
      <c r="BL46" s="580">
        <f>BL31*$BE$31+BL32*$BE$32+BL33*$BE$33+BL34*$BE$34+BL35*$BE$35+BL37*$BE$37+BL39*$BE$39+BL40*$BE$40+BL41*$BE$41+BL42*$BE$42+BL43*$BE$43+BL45*$BE$45</f>
        <v>0</v>
      </c>
      <c r="BM46" s="2045">
        <f>BM31*$BE$31+BM32*$BE$32+BM33*$BE$33+BM34*$BE$34+BM35*$BE$35+BM37*$BE$37+BM39*$BE$39+BM40*$BE$40+BM41*$BE$41+BM42*$BE$42+BM43*$BE$43+BM45*$BE$45</f>
        <v>0</v>
      </c>
      <c r="BN46" s="2046"/>
      <c r="BO46" s="2045">
        <f>BO31*$BE$31+BO32*$BE$32+BO33*$BE$33+BO34*$BE$34+BO35*$BE$35+BO37*$BE$37+BO39*$BE$39+BO40*$BE$40+BO41*$BE$41+BO42*$BE$42+BO43*$BE$43+BO45*$BE$45</f>
        <v>0</v>
      </c>
      <c r="BP46" s="2046"/>
      <c r="BQ46" s="2047">
        <f>BQ31+BQ32+BQ33+BQ34+BQ35+BQ37+BQ39+BQ41+BQ42+BQ43+BQ45</f>
        <v>56600</v>
      </c>
      <c r="BR46" s="2047"/>
      <c r="BS46" s="1047"/>
      <c r="BT46" s="1032"/>
      <c r="BU46" s="1037"/>
      <c r="BV46" s="1037"/>
      <c r="BW46" s="1037"/>
      <c r="BX46" s="1038"/>
      <c r="BY46" s="1039"/>
      <c r="BZ46" s="1038"/>
      <c r="CA46" s="1038"/>
      <c r="CB46" s="1039"/>
      <c r="CC46" s="1038"/>
      <c r="CD46" s="1038"/>
      <c r="CE46" s="1039"/>
      <c r="CF46" s="1038"/>
      <c r="CG46" s="1038"/>
      <c r="CH46" s="1039"/>
      <c r="CI46" s="1040"/>
      <c r="CJ46" s="1041"/>
      <c r="CK46" s="1041"/>
      <c r="CL46" s="1041"/>
      <c r="CM46" s="1039"/>
      <c r="CN46" s="1041"/>
      <c r="CO46" s="1041"/>
      <c r="CP46" s="1042"/>
      <c r="CQ46" s="77"/>
      <c r="CR46" s="77"/>
      <c r="CS46" s="77"/>
      <c r="CT46" s="77"/>
      <c r="CU46" s="15"/>
      <c r="CV46" s="15"/>
      <c r="CW46" s="15"/>
      <c r="CX46" s="24" t="s">
        <v>2900</v>
      </c>
      <c r="CY46" s="19">
        <v>130</v>
      </c>
      <c r="CZ46" s="15"/>
    </row>
    <row r="47" spans="1:106" ht="27" customHeight="1" thickTop="1">
      <c r="A47" s="2329"/>
      <c r="B47" s="2329"/>
      <c r="C47" s="2330"/>
      <c r="D47" s="2330"/>
      <c r="E47" s="2330"/>
      <c r="F47" s="2330"/>
      <c r="G47" s="2330"/>
      <c r="H47" s="2330"/>
      <c r="I47" s="2330"/>
      <c r="J47" s="2329"/>
      <c r="K47" s="2329"/>
      <c r="L47" s="2329"/>
      <c r="M47" s="2329"/>
      <c r="N47" s="2329"/>
      <c r="O47" s="2329"/>
      <c r="P47" s="2329"/>
      <c r="Q47" s="2329"/>
      <c r="R47" s="2329"/>
      <c r="S47" s="2329"/>
      <c r="T47" s="2329"/>
      <c r="U47" s="2329"/>
      <c r="V47" s="38"/>
      <c r="W47" s="446"/>
      <c r="X47" s="445"/>
      <c r="Y47" s="445"/>
      <c r="Z47" s="445"/>
      <c r="AA47" s="385"/>
      <c r="AB47" s="384"/>
      <c r="AC47" s="385"/>
      <c r="AD47" s="385"/>
      <c r="AE47" s="384"/>
      <c r="AF47" s="385"/>
      <c r="AG47" s="385"/>
      <c r="AH47" s="384"/>
      <c r="AI47" s="385"/>
      <c r="AJ47" s="385"/>
      <c r="AK47" s="384"/>
      <c r="AL47" s="438"/>
      <c r="AM47" s="441"/>
      <c r="AN47" s="441"/>
      <c r="AO47" s="441"/>
      <c r="AP47" s="384"/>
      <c r="AQ47" s="441"/>
      <c r="AR47" s="441"/>
      <c r="AS47" s="439"/>
      <c r="AT47" s="440"/>
      <c r="AU47" s="440"/>
      <c r="AV47" s="440"/>
      <c r="AW47" s="440"/>
      <c r="AX47" s="2036"/>
      <c r="AY47" s="2036"/>
      <c r="AZ47" s="2037"/>
      <c r="BA47" s="2037"/>
      <c r="BB47" s="2037"/>
      <c r="BC47" s="2037"/>
      <c r="BD47" s="2037"/>
      <c r="BE47" s="2037"/>
      <c r="BF47" s="2037"/>
      <c r="BG47" s="2036"/>
      <c r="BH47" s="2036"/>
      <c r="BI47" s="2036"/>
      <c r="BJ47" s="2036"/>
      <c r="BK47" s="2036"/>
      <c r="BL47" s="2036"/>
      <c r="BM47" s="2036"/>
      <c r="BN47" s="2036"/>
      <c r="BO47" s="2036"/>
      <c r="BP47" s="2036"/>
      <c r="BQ47" s="2036"/>
      <c r="BR47" s="2036"/>
      <c r="BS47" s="1031"/>
      <c r="BT47" s="1032"/>
      <c r="BU47" s="1037"/>
      <c r="BV47" s="1037"/>
      <c r="BW47" s="1037"/>
      <c r="BX47" s="1038"/>
      <c r="BY47" s="1039"/>
      <c r="BZ47" s="1038"/>
      <c r="CA47" s="1038"/>
      <c r="CB47" s="1039"/>
      <c r="CC47" s="1038"/>
      <c r="CD47" s="1038"/>
      <c r="CE47" s="1039"/>
      <c r="CF47" s="1038"/>
      <c r="CG47" s="1038"/>
      <c r="CH47" s="1039"/>
      <c r="CI47" s="1040"/>
      <c r="CJ47" s="1041"/>
      <c r="CK47" s="1041"/>
      <c r="CL47" s="1041"/>
      <c r="CM47" s="1039"/>
      <c r="CN47" s="1041"/>
      <c r="CO47" s="1041"/>
      <c r="CP47" s="1042"/>
      <c r="CQ47" s="77"/>
      <c r="CR47" s="77"/>
      <c r="CS47" s="77"/>
      <c r="CT47" s="77"/>
      <c r="CU47" s="15"/>
      <c r="CV47" s="15"/>
      <c r="CW47" s="15"/>
      <c r="CX47" s="24" t="s">
        <v>2901</v>
      </c>
      <c r="CY47" s="19">
        <v>130</v>
      </c>
      <c r="CZ47" s="15"/>
    </row>
    <row r="48" spans="1:106" ht="23.25" customHeight="1">
      <c r="A48" s="251"/>
      <c r="B48" s="251"/>
      <c r="C48" s="251"/>
      <c r="D48" s="251"/>
      <c r="E48" s="251"/>
      <c r="F48" s="251"/>
      <c r="G48" s="251"/>
      <c r="H48" s="251"/>
      <c r="I48" s="251"/>
      <c r="J48" s="251"/>
      <c r="K48" s="251"/>
      <c r="L48" s="251"/>
      <c r="M48" s="251"/>
      <c r="N48" s="251"/>
      <c r="O48" s="251"/>
      <c r="P48" s="252"/>
      <c r="Q48" s="252"/>
      <c r="R48" s="252"/>
      <c r="S48" s="252"/>
      <c r="T48" s="252"/>
      <c r="U48" s="252"/>
      <c r="V48" s="219"/>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92"/>
      <c r="AY48" s="15"/>
      <c r="AZ48" s="15"/>
      <c r="BA48" s="15"/>
      <c r="BB48" s="36"/>
      <c r="BC48" s="32"/>
      <c r="BD48" s="15"/>
      <c r="BE48" s="16"/>
      <c r="BF48" s="15"/>
      <c r="BG48" s="207"/>
      <c r="BH48" s="207"/>
      <c r="BI48" s="207"/>
      <c r="BJ48" s="207"/>
      <c r="BK48" s="207"/>
      <c r="BL48" s="207"/>
      <c r="BM48" s="207"/>
      <c r="BN48" s="207"/>
      <c r="BO48" s="207"/>
      <c r="BP48" s="207"/>
      <c r="BQ48" s="207"/>
      <c r="BR48" s="207"/>
      <c r="CX48" s="24" t="s">
        <v>2904</v>
      </c>
      <c r="CY48" s="19">
        <v>130</v>
      </c>
    </row>
    <row r="49" spans="1:103" ht="15" customHeight="1">
      <c r="A49" s="251"/>
      <c r="B49" s="251"/>
      <c r="C49" s="251"/>
      <c r="D49" s="251"/>
      <c r="E49" s="251"/>
      <c r="F49" s="251"/>
      <c r="G49" s="251"/>
      <c r="H49" s="251"/>
      <c r="I49" s="251"/>
      <c r="J49" s="251"/>
      <c r="K49" s="251"/>
      <c r="L49" s="251"/>
      <c r="M49" s="251"/>
      <c r="N49" s="251"/>
      <c r="O49" s="251"/>
      <c r="P49" s="252"/>
      <c r="Q49" s="252"/>
      <c r="R49" s="252"/>
      <c r="S49" s="252"/>
      <c r="T49" s="252"/>
      <c r="U49" s="252"/>
      <c r="V49" s="214"/>
      <c r="W49" s="253"/>
      <c r="X49" s="253"/>
      <c r="Y49" s="253"/>
      <c r="Z49" s="253"/>
      <c r="AA49" s="253"/>
      <c r="AB49" s="253"/>
      <c r="AC49" s="253"/>
      <c r="AD49" s="253"/>
      <c r="AE49" s="253"/>
      <c r="AF49" s="253"/>
      <c r="AG49" s="253"/>
      <c r="AK49" s="253"/>
      <c r="AL49" s="253"/>
      <c r="AM49" s="253"/>
      <c r="AN49" s="253"/>
      <c r="AO49" s="253"/>
      <c r="AP49" s="253"/>
      <c r="AQ49" s="253"/>
      <c r="AR49" s="253"/>
      <c r="AS49" s="253"/>
      <c r="AT49" s="253"/>
      <c r="AU49" s="253"/>
      <c r="AV49" s="253"/>
      <c r="AW49" s="253"/>
      <c r="AX49" s="22"/>
      <c r="AY49" s="15"/>
      <c r="AZ49" s="15"/>
      <c r="BA49" s="15"/>
      <c r="BB49" s="31" t="s">
        <v>102</v>
      </c>
      <c r="BC49" s="32"/>
      <c r="BD49" s="36"/>
      <c r="BE49" s="205" t="s">
        <v>188</v>
      </c>
      <c r="BF49" s="19" t="s">
        <v>569</v>
      </c>
      <c r="BG49" s="19" t="s">
        <v>570</v>
      </c>
      <c r="BH49" s="7"/>
      <c r="BI49" s="7"/>
      <c r="BJ49" s="209"/>
      <c r="BK49" s="209"/>
      <c r="BL49" s="209"/>
      <c r="BM49" s="209"/>
      <c r="BN49" s="209"/>
      <c r="BO49" s="209"/>
      <c r="BP49" s="209"/>
      <c r="BQ49" s="207"/>
      <c r="BR49" s="207"/>
      <c r="CX49" s="21" t="s">
        <v>102</v>
      </c>
      <c r="CY49" s="19"/>
    </row>
    <row r="50" spans="1:103" ht="30" customHeight="1">
      <c r="A50" s="254"/>
      <c r="B50" s="254"/>
      <c r="C50" s="254"/>
      <c r="D50" s="254"/>
      <c r="E50" s="255"/>
      <c r="F50" s="255"/>
      <c r="G50" s="255"/>
      <c r="H50" s="255"/>
      <c r="I50" s="255"/>
      <c r="J50" s="255"/>
      <c r="K50" s="255"/>
      <c r="L50" s="255"/>
      <c r="M50" s="255"/>
      <c r="N50" s="254"/>
      <c r="O50" s="254"/>
      <c r="P50" s="254"/>
      <c r="Q50" s="256"/>
      <c r="R50" s="256"/>
      <c r="S50" s="256"/>
      <c r="T50" s="256"/>
      <c r="U50" s="256"/>
      <c r="V50" s="214"/>
      <c r="W50" s="257"/>
      <c r="X50" s="258"/>
      <c r="Y50" s="258"/>
      <c r="Z50" s="258"/>
      <c r="AA50" s="258"/>
      <c r="AB50" s="258"/>
      <c r="AC50" s="258"/>
      <c r="AD50" s="220"/>
      <c r="AE50" s="259"/>
      <c r="AF50" s="260"/>
      <c r="AG50" s="260"/>
      <c r="AH50" s="260"/>
      <c r="AI50" s="260"/>
      <c r="AJ50" s="260"/>
      <c r="AK50" s="260"/>
      <c r="AL50" s="260"/>
      <c r="AM50" s="260"/>
      <c r="AN50" s="260"/>
      <c r="AO50" s="260"/>
      <c r="AP50" s="260"/>
      <c r="AQ50" s="260"/>
      <c r="AR50" s="260"/>
      <c r="AS50" s="260"/>
      <c r="AT50" s="260"/>
      <c r="AU50" s="260"/>
      <c r="AV50" s="260"/>
      <c r="AW50" s="221"/>
      <c r="AX50" s="22"/>
      <c r="AY50" s="15"/>
      <c r="AZ50" s="15"/>
      <c r="BA50" s="15"/>
      <c r="BB50" s="36" t="s">
        <v>103</v>
      </c>
      <c r="BC50" s="32">
        <v>90</v>
      </c>
      <c r="BD50" s="36"/>
      <c r="BE50" s="208" t="s">
        <v>564</v>
      </c>
      <c r="BF50" s="210">
        <f>SUMIFS($AQ$43:$AQ$47,$X$43:$X$47,"カレーライス")*2</f>
        <v>0</v>
      </c>
      <c r="BG50" s="206"/>
      <c r="BH50" s="209"/>
      <c r="BI50" s="209"/>
      <c r="BJ50" s="209"/>
      <c r="BK50" s="209"/>
      <c r="BL50" s="209"/>
      <c r="BM50" s="209"/>
      <c r="BN50" s="209"/>
      <c r="BO50" s="209"/>
      <c r="BP50" s="209"/>
      <c r="BQ50" s="207"/>
      <c r="BR50" s="207"/>
      <c r="CX50" s="24" t="s">
        <v>103</v>
      </c>
      <c r="CY50" s="19">
        <v>90</v>
      </c>
    </row>
    <row r="51" spans="1:103" ht="27" customHeight="1">
      <c r="A51" s="254"/>
      <c r="B51" s="254"/>
      <c r="C51" s="254"/>
      <c r="D51" s="254"/>
      <c r="E51" s="261"/>
      <c r="F51" s="261"/>
      <c r="G51" s="222"/>
      <c r="H51" s="223"/>
      <c r="I51" s="222"/>
      <c r="J51" s="223"/>
      <c r="K51" s="222"/>
      <c r="L51" s="222"/>
      <c r="M51" s="223"/>
      <c r="N51" s="222"/>
      <c r="O51" s="223"/>
      <c r="P51" s="222"/>
      <c r="Q51" s="224"/>
      <c r="R51" s="225"/>
      <c r="S51" s="222"/>
      <c r="T51" s="225"/>
      <c r="U51" s="226"/>
      <c r="V51" s="214"/>
      <c r="AX51" s="22"/>
      <c r="AY51" s="15"/>
      <c r="AZ51" s="15"/>
      <c r="BA51" s="15"/>
      <c r="BB51" s="36" t="s">
        <v>252</v>
      </c>
      <c r="BC51" s="32">
        <v>600</v>
      </c>
      <c r="BD51" s="36"/>
      <c r="BE51" s="21" t="s">
        <v>565</v>
      </c>
      <c r="BF51" s="210">
        <f>SUMIFS($AQ$43:$AQ$47,$Y$43:$Y$47,"牛丼")*2</f>
        <v>0</v>
      </c>
      <c r="BG51" s="206"/>
      <c r="BH51" s="209"/>
      <c r="BI51" s="209"/>
      <c r="BJ51" s="209"/>
      <c r="BK51" s="209"/>
      <c r="BL51" s="209"/>
      <c r="BM51" s="209"/>
      <c r="BN51" s="209"/>
      <c r="BO51" s="209"/>
      <c r="BP51" s="209"/>
      <c r="BQ51" s="207"/>
      <c r="BR51" s="207"/>
      <c r="CX51" s="24" t="s">
        <v>2906</v>
      </c>
      <c r="CY51" s="19">
        <v>500</v>
      </c>
    </row>
    <row r="52" spans="1:103" ht="27" customHeight="1">
      <c r="A52" s="264"/>
      <c r="B52" s="264"/>
      <c r="C52" s="264"/>
      <c r="D52" s="264"/>
      <c r="E52" s="264"/>
      <c r="F52" s="264"/>
      <c r="G52" s="264"/>
      <c r="H52" s="264"/>
      <c r="I52" s="264"/>
      <c r="J52" s="264"/>
      <c r="K52" s="264"/>
      <c r="L52" s="264"/>
      <c r="M52" s="264"/>
      <c r="N52" s="264"/>
      <c r="O52" s="264"/>
      <c r="P52" s="264"/>
      <c r="Q52" s="264"/>
      <c r="R52" s="264"/>
      <c r="S52" s="264"/>
      <c r="T52" s="264"/>
      <c r="U52" s="264"/>
      <c r="V52" s="264"/>
      <c r="W52" s="262"/>
      <c r="X52" s="263"/>
      <c r="Y52" s="227"/>
      <c r="Z52" s="228"/>
      <c r="AA52" s="258"/>
      <c r="AB52" s="258"/>
      <c r="AC52" s="258"/>
      <c r="AD52" s="229"/>
      <c r="AE52" s="230"/>
      <c r="AF52" s="265"/>
      <c r="AG52" s="265"/>
      <c r="AH52" s="265"/>
      <c r="AI52" s="265"/>
      <c r="AJ52" s="265"/>
      <c r="AK52" s="265"/>
      <c r="AL52" s="265"/>
      <c r="AM52" s="265"/>
      <c r="AN52" s="265"/>
      <c r="AO52" s="265"/>
      <c r="AP52" s="265"/>
      <c r="AQ52" s="265"/>
      <c r="AR52" s="265"/>
      <c r="AS52" s="265"/>
      <c r="AT52" s="265"/>
      <c r="AU52" s="265"/>
      <c r="AV52" s="265"/>
      <c r="AW52" s="231"/>
      <c r="AX52" s="22"/>
      <c r="AY52" s="15"/>
      <c r="AZ52" s="15"/>
      <c r="BA52" s="15"/>
      <c r="BB52" s="36" t="s">
        <v>104</v>
      </c>
      <c r="BC52" s="32">
        <v>600</v>
      </c>
      <c r="BD52" s="36"/>
      <c r="BE52" s="21" t="s">
        <v>566</v>
      </c>
      <c r="BF52" s="210">
        <f>SUMIFS($AQ$43:$AQ$47,$Y$43:$Y$47,"豚汁")*2</f>
        <v>0</v>
      </c>
      <c r="BG52" s="206"/>
      <c r="BH52" s="209"/>
      <c r="BI52" s="209"/>
      <c r="BJ52" s="209"/>
      <c r="BK52" s="209"/>
      <c r="BL52" s="209"/>
      <c r="BM52" s="209"/>
      <c r="BN52" s="209"/>
      <c r="BO52" s="209"/>
      <c r="BP52" s="209"/>
      <c r="BQ52" s="207"/>
      <c r="BR52" s="207"/>
      <c r="CX52" s="24" t="s">
        <v>104</v>
      </c>
      <c r="CY52" s="19">
        <v>600</v>
      </c>
    </row>
    <row r="53" spans="1:103" ht="27" customHeight="1">
      <c r="A53" s="264"/>
      <c r="B53" s="264"/>
      <c r="C53" s="264"/>
      <c r="D53" s="264"/>
      <c r="E53" s="264"/>
      <c r="F53" s="264"/>
      <c r="G53" s="264"/>
      <c r="H53" s="264"/>
      <c r="I53" s="264"/>
      <c r="J53" s="264"/>
      <c r="K53" s="264"/>
      <c r="L53" s="264"/>
      <c r="M53" s="264"/>
      <c r="N53" s="264"/>
      <c r="O53" s="264"/>
      <c r="P53" s="264"/>
      <c r="Q53" s="264"/>
      <c r="R53" s="264"/>
      <c r="S53" s="264"/>
      <c r="T53" s="264"/>
      <c r="U53" s="264"/>
      <c r="V53" s="264"/>
      <c r="W53" s="262"/>
      <c r="X53" s="263"/>
      <c r="Y53" s="227"/>
      <c r="Z53" s="228"/>
      <c r="AA53" s="258"/>
      <c r="AB53" s="258"/>
      <c r="AC53" s="258"/>
      <c r="AD53" s="229"/>
      <c r="AE53" s="230"/>
      <c r="AF53" s="265"/>
      <c r="AG53" s="265"/>
      <c r="AH53" s="265"/>
      <c r="AI53" s="265"/>
      <c r="AJ53" s="265"/>
      <c r="AK53" s="265"/>
      <c r="AL53" s="265"/>
      <c r="AM53" s="265"/>
      <c r="AN53" s="265"/>
      <c r="AO53" s="265"/>
      <c r="AP53" s="265"/>
      <c r="AQ53" s="265"/>
      <c r="AR53" s="265"/>
      <c r="AS53" s="265"/>
      <c r="AT53" s="265"/>
      <c r="AU53" s="265"/>
      <c r="AV53" s="265"/>
      <c r="AW53" s="231"/>
      <c r="AX53" s="93"/>
      <c r="AY53" s="15"/>
      <c r="AZ53" s="15"/>
      <c r="BA53" s="15"/>
      <c r="BB53" s="36" t="s">
        <v>105</v>
      </c>
      <c r="BC53" s="32">
        <v>600</v>
      </c>
      <c r="BD53" s="36"/>
      <c r="BE53" s="21" t="s">
        <v>568</v>
      </c>
      <c r="BF53" s="210">
        <f>SUMIFS($AQ$43:$AQ$47,$X$43:$X$47,"焼きそば")</f>
        <v>0</v>
      </c>
      <c r="BG53" s="206"/>
      <c r="BH53" s="209"/>
      <c r="BI53" s="209"/>
      <c r="BJ53" s="209"/>
      <c r="BK53" s="209"/>
      <c r="BL53" s="209"/>
      <c r="BM53" s="209"/>
      <c r="BN53" s="209"/>
      <c r="BO53" s="209"/>
      <c r="BP53" s="209"/>
      <c r="BQ53" s="207"/>
      <c r="BR53" s="207"/>
      <c r="CX53" s="24" t="s">
        <v>105</v>
      </c>
      <c r="CY53" s="19">
        <v>600</v>
      </c>
    </row>
    <row r="54" spans="1:103" ht="27" customHeight="1">
      <c r="A54" s="264"/>
      <c r="B54" s="264"/>
      <c r="C54" s="264"/>
      <c r="D54" s="264"/>
      <c r="E54" s="264"/>
      <c r="F54" s="264"/>
      <c r="G54" s="264"/>
      <c r="H54" s="264"/>
      <c r="I54" s="264"/>
      <c r="J54" s="264"/>
      <c r="K54" s="264"/>
      <c r="L54" s="264"/>
      <c r="M54" s="264"/>
      <c r="N54" s="264"/>
      <c r="O54" s="264"/>
      <c r="P54" s="264"/>
      <c r="Q54" s="264"/>
      <c r="R54" s="264"/>
      <c r="S54" s="264"/>
      <c r="T54" s="264"/>
      <c r="U54" s="264"/>
      <c r="V54" s="264"/>
      <c r="W54" s="262"/>
      <c r="X54" s="263"/>
      <c r="Y54" s="227"/>
      <c r="Z54" s="228"/>
      <c r="AA54" s="258"/>
      <c r="AB54" s="258"/>
      <c r="AC54" s="258"/>
      <c r="AD54" s="229"/>
      <c r="AE54" s="230"/>
      <c r="AF54" s="265"/>
      <c r="AG54" s="265"/>
      <c r="AH54" s="265"/>
      <c r="AI54" s="265"/>
      <c r="AJ54" s="265"/>
      <c r="AK54" s="265"/>
      <c r="AL54" s="265"/>
      <c r="AM54" s="265"/>
      <c r="AN54" s="265"/>
      <c r="AO54" s="265"/>
      <c r="AP54" s="265"/>
      <c r="AQ54" s="265"/>
      <c r="AR54" s="265"/>
      <c r="AS54" s="265"/>
      <c r="AT54" s="265"/>
      <c r="AU54" s="265"/>
      <c r="AV54" s="265"/>
      <c r="AW54" s="231"/>
      <c r="AX54" s="93"/>
      <c r="AY54" s="15"/>
      <c r="AZ54" s="15"/>
      <c r="BA54" s="15"/>
      <c r="BB54" s="36" t="s">
        <v>254</v>
      </c>
      <c r="BC54" s="32">
        <v>600</v>
      </c>
      <c r="BD54" s="36"/>
      <c r="BE54" s="21" t="s">
        <v>567</v>
      </c>
      <c r="BF54" s="210">
        <f>SUMIFS($AQ$43:$AQ$47,$X$43:$X$47,"ホットドッグ")/2</f>
        <v>0</v>
      </c>
      <c r="BG54" s="206"/>
      <c r="BH54" s="209"/>
      <c r="BI54" s="209"/>
      <c r="BJ54" s="209"/>
      <c r="BK54" s="209"/>
      <c r="BL54" s="209"/>
      <c r="BM54" s="209"/>
      <c r="BN54" s="209"/>
      <c r="BO54" s="209"/>
      <c r="BP54" s="209"/>
      <c r="BQ54" s="207"/>
      <c r="BR54" s="207"/>
      <c r="CX54" s="24" t="s">
        <v>254</v>
      </c>
      <c r="CY54" s="19">
        <v>600</v>
      </c>
    </row>
    <row r="55" spans="1:103" ht="27" customHeight="1">
      <c r="A55" s="264"/>
      <c r="B55" s="264"/>
      <c r="C55" s="264"/>
      <c r="D55" s="264"/>
      <c r="E55" s="264"/>
      <c r="F55" s="264"/>
      <c r="G55" s="264"/>
      <c r="H55" s="264"/>
      <c r="I55" s="264"/>
      <c r="J55" s="264"/>
      <c r="K55" s="264"/>
      <c r="L55" s="264"/>
      <c r="M55" s="264"/>
      <c r="N55" s="264"/>
      <c r="O55" s="264"/>
      <c r="P55" s="264"/>
      <c r="Q55" s="264"/>
      <c r="R55" s="264"/>
      <c r="S55" s="264"/>
      <c r="T55" s="264"/>
      <c r="U55" s="264"/>
      <c r="V55" s="264"/>
      <c r="W55" s="262"/>
      <c r="X55" s="263"/>
      <c r="Y55" s="227"/>
      <c r="Z55" s="228"/>
      <c r="AA55" s="258"/>
      <c r="AB55" s="258"/>
      <c r="AC55" s="258"/>
      <c r="AD55" s="229"/>
      <c r="AE55" s="230"/>
      <c r="AF55" s="265"/>
      <c r="AG55" s="265"/>
      <c r="AH55" s="265"/>
      <c r="AI55" s="265"/>
      <c r="AJ55" s="265"/>
      <c r="AK55" s="265"/>
      <c r="AL55" s="265"/>
      <c r="AM55" s="265"/>
      <c r="AN55" s="265"/>
      <c r="AO55" s="265"/>
      <c r="AP55" s="265"/>
      <c r="AQ55" s="265"/>
      <c r="AR55" s="265"/>
      <c r="AS55" s="265"/>
      <c r="AT55" s="265"/>
      <c r="AU55" s="265"/>
      <c r="AV55" s="265"/>
      <c r="AW55" s="231"/>
      <c r="AX55" s="93"/>
      <c r="AY55" s="15"/>
      <c r="AZ55" s="15"/>
      <c r="BA55" s="15"/>
      <c r="BB55" s="36" t="s">
        <v>106</v>
      </c>
      <c r="BC55" s="32">
        <v>600</v>
      </c>
      <c r="BD55" s="36"/>
      <c r="BE55" s="2028" t="s">
        <v>146</v>
      </c>
      <c r="BF55" s="2029"/>
      <c r="BG55" s="210">
        <f>SUMIFS($AQ$43:$AQ$47,$X$43:$X$47,"ジンギスカン")</f>
        <v>0</v>
      </c>
      <c r="BH55" s="209"/>
      <c r="BI55" s="209"/>
      <c r="BJ55" s="209"/>
      <c r="BK55" s="209"/>
      <c r="BL55" s="209"/>
      <c r="BM55" s="209"/>
      <c r="BN55" s="209"/>
      <c r="BO55" s="209"/>
      <c r="BP55" s="209"/>
      <c r="BQ55" s="207"/>
      <c r="BR55" s="207"/>
      <c r="CX55" s="24" t="s">
        <v>106</v>
      </c>
      <c r="CY55" s="19">
        <v>600</v>
      </c>
    </row>
    <row r="56" spans="1:103" ht="27" customHeight="1">
      <c r="A56" s="264"/>
      <c r="B56" s="264"/>
      <c r="C56" s="264"/>
      <c r="D56" s="264"/>
      <c r="E56" s="264"/>
      <c r="F56" s="264"/>
      <c r="G56" s="264"/>
      <c r="H56" s="264"/>
      <c r="I56" s="264"/>
      <c r="J56" s="264"/>
      <c r="K56" s="264"/>
      <c r="L56" s="264"/>
      <c r="M56" s="264"/>
      <c r="N56" s="264"/>
      <c r="O56" s="264"/>
      <c r="P56" s="264"/>
      <c r="Q56" s="264"/>
      <c r="R56" s="264"/>
      <c r="S56" s="264"/>
      <c r="T56" s="264"/>
      <c r="U56" s="264"/>
      <c r="V56" s="264"/>
      <c r="W56" s="262"/>
      <c r="X56" s="263"/>
      <c r="Y56" s="227"/>
      <c r="Z56" s="228"/>
      <c r="AA56" s="258"/>
      <c r="AB56" s="258"/>
      <c r="AC56" s="258"/>
      <c r="AD56" s="229"/>
      <c r="AE56" s="230"/>
      <c r="AF56" s="265"/>
      <c r="AG56" s="265"/>
      <c r="AH56" s="265"/>
      <c r="AI56" s="265"/>
      <c r="AJ56" s="265"/>
      <c r="AK56" s="265"/>
      <c r="AL56" s="265"/>
      <c r="AM56" s="265"/>
      <c r="AN56" s="265"/>
      <c r="AO56" s="265"/>
      <c r="AP56" s="265"/>
      <c r="AQ56" s="265"/>
      <c r="AR56" s="265"/>
      <c r="AS56" s="265"/>
      <c r="AT56" s="265"/>
      <c r="AU56" s="265"/>
      <c r="AV56" s="265"/>
      <c r="AW56" s="231"/>
      <c r="AX56" s="94"/>
      <c r="AY56" s="15"/>
      <c r="AZ56" s="15"/>
      <c r="BA56" s="15"/>
      <c r="BB56" s="36" t="s">
        <v>253</v>
      </c>
      <c r="BC56" s="32">
        <v>750</v>
      </c>
      <c r="BD56" s="36"/>
      <c r="BE56" s="412" t="s">
        <v>2867</v>
      </c>
      <c r="BF56" s="205">
        <f>SUMIFS($AQ$43:$AQ$47,$X$43:$X$47,"カレーライス")*-1</f>
        <v>0</v>
      </c>
      <c r="BG56" s="205"/>
      <c r="BH56" s="209"/>
      <c r="BI56" s="209"/>
      <c r="BJ56" s="209"/>
      <c r="BK56" s="209"/>
      <c r="BL56" s="209"/>
      <c r="BM56" s="209"/>
      <c r="BN56" s="209"/>
      <c r="BO56" s="209"/>
      <c r="BP56" s="209"/>
      <c r="BQ56" s="207"/>
      <c r="BR56" s="207"/>
      <c r="CX56" s="24" t="s">
        <v>253</v>
      </c>
      <c r="CY56" s="19">
        <v>750</v>
      </c>
    </row>
    <row r="57" spans="1:103" ht="27" customHeight="1">
      <c r="A57" s="264"/>
      <c r="B57" s="264"/>
      <c r="C57" s="264"/>
      <c r="D57" s="264"/>
      <c r="E57" s="264"/>
      <c r="F57" s="264"/>
      <c r="G57" s="264"/>
      <c r="H57" s="264"/>
      <c r="I57" s="264"/>
      <c r="J57" s="264"/>
      <c r="K57" s="264"/>
      <c r="L57" s="264"/>
      <c r="M57" s="264"/>
      <c r="N57" s="264"/>
      <c r="O57" s="264"/>
      <c r="P57" s="264"/>
      <c r="Q57" s="264"/>
      <c r="R57" s="264"/>
      <c r="S57" s="264"/>
      <c r="T57" s="264"/>
      <c r="U57" s="264"/>
      <c r="V57" s="264"/>
      <c r="W57" s="262"/>
      <c r="X57" s="263"/>
      <c r="Y57" s="227"/>
      <c r="Z57" s="228"/>
      <c r="AA57" s="258"/>
      <c r="AB57" s="258"/>
      <c r="AC57" s="258"/>
      <c r="AD57" s="229"/>
      <c r="AE57" s="230"/>
      <c r="AF57" s="265"/>
      <c r="AG57" s="265"/>
      <c r="AH57" s="265"/>
      <c r="AI57" s="265"/>
      <c r="AJ57" s="265"/>
      <c r="AK57" s="265"/>
      <c r="AL57" s="265"/>
      <c r="AM57" s="265"/>
      <c r="AN57" s="265"/>
      <c r="AO57" s="265"/>
      <c r="AP57" s="265"/>
      <c r="AQ57" s="265"/>
      <c r="AR57" s="265"/>
      <c r="AS57" s="265"/>
      <c r="AT57" s="265"/>
      <c r="AU57" s="265"/>
      <c r="AV57" s="265"/>
      <c r="AW57" s="231"/>
      <c r="AX57" s="22"/>
      <c r="AY57" s="15"/>
      <c r="AZ57" s="15"/>
      <c r="BA57" s="15"/>
      <c r="BB57" s="36" t="s">
        <v>107</v>
      </c>
      <c r="BC57" s="32">
        <v>100</v>
      </c>
      <c r="BD57" s="15"/>
      <c r="BE57" s="21" t="s">
        <v>121</v>
      </c>
      <c r="BF57" s="19">
        <f>SUM(BF50:BF54,BF56)</f>
        <v>0</v>
      </c>
      <c r="BG57" s="206">
        <f>BG55</f>
        <v>0</v>
      </c>
      <c r="BH57" s="209"/>
      <c r="BI57" s="209"/>
      <c r="BJ57" s="209"/>
      <c r="BK57" s="209"/>
      <c r="BL57" s="209"/>
      <c r="BM57" s="209"/>
      <c r="BN57" s="209"/>
      <c r="BO57" s="209"/>
      <c r="BP57" s="209"/>
      <c r="BQ57" s="207"/>
      <c r="BR57" s="207"/>
      <c r="CX57" s="24" t="s">
        <v>107</v>
      </c>
      <c r="CY57" s="19">
        <v>100</v>
      </c>
    </row>
    <row r="58" spans="1:103" ht="27" customHeight="1">
      <c r="A58" s="232"/>
      <c r="B58" s="233"/>
      <c r="C58" s="233"/>
      <c r="D58" s="233"/>
      <c r="E58" s="233"/>
      <c r="F58" s="233"/>
      <c r="G58" s="218"/>
      <c r="H58" s="218"/>
      <c r="I58" s="218"/>
      <c r="J58" s="218"/>
      <c r="K58" s="218"/>
      <c r="L58" s="218"/>
      <c r="M58" s="218"/>
      <c r="N58" s="218"/>
      <c r="O58" s="218"/>
      <c r="P58" s="218"/>
      <c r="Q58" s="218"/>
      <c r="R58" s="234"/>
      <c r="S58" s="266"/>
      <c r="T58" s="266"/>
      <c r="U58" s="213"/>
      <c r="V58" s="214"/>
      <c r="W58" s="262"/>
      <c r="X58" s="263"/>
      <c r="Y58" s="227"/>
      <c r="Z58" s="228"/>
      <c r="AA58" s="258"/>
      <c r="AB58" s="258"/>
      <c r="AC58" s="258"/>
      <c r="AD58" s="229"/>
      <c r="AE58" s="230"/>
      <c r="AF58" s="265"/>
      <c r="AG58" s="265"/>
      <c r="AH58" s="265"/>
      <c r="AI58" s="265"/>
      <c r="AJ58" s="265"/>
      <c r="AK58" s="265"/>
      <c r="AL58" s="265"/>
      <c r="AM58" s="265"/>
      <c r="AN58" s="265"/>
      <c r="AO58" s="265"/>
      <c r="AP58" s="265"/>
      <c r="AQ58" s="265"/>
      <c r="AR58" s="265"/>
      <c r="AS58" s="265"/>
      <c r="AT58" s="265"/>
      <c r="AU58" s="265"/>
      <c r="AV58" s="265"/>
      <c r="AW58" s="231"/>
      <c r="AX58" s="22"/>
      <c r="AY58" s="15"/>
      <c r="AZ58" s="15"/>
      <c r="BA58" s="15"/>
      <c r="BB58" s="36" t="s">
        <v>255</v>
      </c>
      <c r="BC58" s="32">
        <v>50</v>
      </c>
      <c r="BD58" s="15"/>
      <c r="BE58" s="31"/>
      <c r="BF58" s="32"/>
      <c r="BG58" s="209"/>
      <c r="BH58" s="209"/>
      <c r="BI58" s="209"/>
      <c r="BJ58" s="209"/>
      <c r="BK58" s="209"/>
      <c r="BL58" s="209"/>
      <c r="BM58" s="209"/>
      <c r="BN58" s="209"/>
      <c r="BO58" s="209"/>
      <c r="BP58" s="209"/>
      <c r="BQ58" s="207"/>
      <c r="BR58" s="207"/>
      <c r="CX58" s="24" t="s">
        <v>255</v>
      </c>
      <c r="CY58" s="19">
        <v>50</v>
      </c>
    </row>
    <row r="59" spans="1:103" ht="27" customHeight="1">
      <c r="A59" s="267"/>
      <c r="B59" s="267"/>
      <c r="C59" s="268"/>
      <c r="D59" s="268"/>
      <c r="E59" s="268"/>
      <c r="F59" s="268"/>
      <c r="G59" s="269"/>
      <c r="H59" s="269"/>
      <c r="I59" s="269"/>
      <c r="J59" s="269"/>
      <c r="K59" s="269"/>
      <c r="L59" s="269"/>
      <c r="M59" s="269"/>
      <c r="N59" s="269"/>
      <c r="O59" s="269"/>
      <c r="P59" s="269"/>
      <c r="Q59" s="269"/>
      <c r="R59" s="235"/>
      <c r="S59" s="235"/>
      <c r="T59" s="236"/>
      <c r="U59" s="213"/>
      <c r="V59" s="214"/>
      <c r="W59" s="262"/>
      <c r="X59" s="263"/>
      <c r="Y59" s="227"/>
      <c r="Z59" s="228"/>
      <c r="AA59" s="258"/>
      <c r="AB59" s="258"/>
      <c r="AC59" s="258"/>
      <c r="AD59" s="229"/>
      <c r="AE59" s="230"/>
      <c r="AF59" s="265"/>
      <c r="AG59" s="265"/>
      <c r="AH59" s="265"/>
      <c r="AI59" s="265"/>
      <c r="AJ59" s="265"/>
      <c r="AK59" s="265"/>
      <c r="AL59" s="265"/>
      <c r="AM59" s="265"/>
      <c r="AN59" s="265"/>
      <c r="AO59" s="265"/>
      <c r="AP59" s="265"/>
      <c r="AQ59" s="265"/>
      <c r="AR59" s="265"/>
      <c r="AS59" s="265"/>
      <c r="AT59" s="265"/>
      <c r="AU59" s="265"/>
      <c r="AV59" s="265"/>
      <c r="AW59" s="231"/>
      <c r="AX59" s="22"/>
      <c r="AY59" s="15"/>
      <c r="AZ59" s="15"/>
      <c r="BA59" s="15"/>
      <c r="BB59" s="36" t="s">
        <v>256</v>
      </c>
      <c r="BC59" s="32">
        <v>70</v>
      </c>
      <c r="BD59" s="15"/>
      <c r="BE59" s="31"/>
      <c r="BF59" s="32"/>
      <c r="BG59" s="209"/>
      <c r="BH59" s="209"/>
      <c r="BI59" s="209"/>
      <c r="BJ59" s="209"/>
      <c r="BK59" s="209"/>
      <c r="BL59" s="209"/>
      <c r="BM59" s="209"/>
      <c r="BN59" s="209"/>
      <c r="BO59" s="209"/>
      <c r="BP59" s="209"/>
      <c r="BQ59" s="207"/>
      <c r="BR59" s="207"/>
      <c r="CX59" s="24" t="s">
        <v>256</v>
      </c>
      <c r="CY59" s="19">
        <v>70</v>
      </c>
    </row>
    <row r="60" spans="1:103" ht="27" customHeight="1">
      <c r="A60" s="267"/>
      <c r="B60" s="267"/>
      <c r="C60" s="268"/>
      <c r="D60" s="268"/>
      <c r="E60" s="268"/>
      <c r="F60" s="268"/>
      <c r="G60" s="269"/>
      <c r="H60" s="269"/>
      <c r="I60" s="269"/>
      <c r="J60" s="269"/>
      <c r="K60" s="269"/>
      <c r="L60" s="269"/>
      <c r="M60" s="269"/>
      <c r="N60" s="269"/>
      <c r="O60" s="269"/>
      <c r="P60" s="269"/>
      <c r="Q60" s="269"/>
      <c r="R60" s="235"/>
      <c r="S60" s="235"/>
      <c r="T60" s="236"/>
      <c r="U60" s="213"/>
      <c r="V60" s="214"/>
      <c r="W60" s="262"/>
      <c r="X60" s="263"/>
      <c r="Y60" s="227"/>
      <c r="Z60" s="228"/>
      <c r="AA60" s="258"/>
      <c r="AB60" s="258"/>
      <c r="AC60" s="258"/>
      <c r="AD60" s="229"/>
      <c r="AE60" s="230"/>
      <c r="AF60" s="265"/>
      <c r="AG60" s="265"/>
      <c r="AH60" s="265"/>
      <c r="AI60" s="265"/>
      <c r="AJ60" s="265"/>
      <c r="AK60" s="265"/>
      <c r="AL60" s="265"/>
      <c r="AM60" s="265"/>
      <c r="AN60" s="265"/>
      <c r="AO60" s="265"/>
      <c r="AP60" s="265"/>
      <c r="AQ60" s="265"/>
      <c r="AR60" s="265"/>
      <c r="AS60" s="265"/>
      <c r="AT60" s="265"/>
      <c r="AU60" s="265"/>
      <c r="AV60" s="265"/>
      <c r="AW60" s="231"/>
      <c r="AX60" s="22"/>
      <c r="AY60" s="15"/>
      <c r="AZ60" s="15"/>
      <c r="BA60" s="15"/>
      <c r="BB60" s="36" t="s">
        <v>258</v>
      </c>
      <c r="BC60" s="32">
        <v>110</v>
      </c>
      <c r="BD60" s="15"/>
      <c r="BE60" s="31"/>
      <c r="BF60" s="32"/>
      <c r="BG60" s="209"/>
      <c r="BH60" s="209"/>
      <c r="BI60" s="209"/>
      <c r="BJ60" s="209"/>
      <c r="BK60" s="209"/>
      <c r="BL60" s="209"/>
      <c r="BM60" s="209"/>
      <c r="BN60" s="209"/>
      <c r="BO60" s="209"/>
      <c r="BP60" s="209"/>
      <c r="BQ60" s="207"/>
      <c r="BR60" s="207"/>
      <c r="CX60" s="24" t="s">
        <v>258</v>
      </c>
      <c r="CY60" s="19">
        <v>110</v>
      </c>
    </row>
    <row r="61" spans="1:103" ht="27" customHeight="1">
      <c r="A61" s="267"/>
      <c r="B61" s="267"/>
      <c r="C61" s="268"/>
      <c r="D61" s="268"/>
      <c r="E61" s="268"/>
      <c r="F61" s="268"/>
      <c r="G61" s="269"/>
      <c r="H61" s="269"/>
      <c r="I61" s="269"/>
      <c r="J61" s="269"/>
      <c r="K61" s="269"/>
      <c r="L61" s="269"/>
      <c r="M61" s="269"/>
      <c r="N61" s="269"/>
      <c r="O61" s="269"/>
      <c r="P61" s="269"/>
      <c r="Q61" s="269"/>
      <c r="R61" s="235"/>
      <c r="S61" s="235"/>
      <c r="T61" s="236"/>
      <c r="U61" s="213"/>
      <c r="V61" s="214"/>
      <c r="W61" s="262"/>
      <c r="X61" s="263"/>
      <c r="Y61" s="227"/>
      <c r="Z61" s="228"/>
      <c r="AA61" s="258"/>
      <c r="AB61" s="258"/>
      <c r="AC61" s="258"/>
      <c r="AD61" s="229"/>
      <c r="AE61" s="230"/>
      <c r="AF61" s="265"/>
      <c r="AG61" s="265"/>
      <c r="AH61" s="265"/>
      <c r="AI61" s="265"/>
      <c r="AJ61" s="265"/>
      <c r="AK61" s="265"/>
      <c r="AL61" s="265"/>
      <c r="AM61" s="265"/>
      <c r="AN61" s="265"/>
      <c r="AO61" s="265"/>
      <c r="AP61" s="265"/>
      <c r="AQ61" s="265"/>
      <c r="AR61" s="265"/>
      <c r="AS61" s="265"/>
      <c r="AT61" s="265"/>
      <c r="AU61" s="265"/>
      <c r="AV61" s="265"/>
      <c r="AW61" s="231"/>
      <c r="AX61" s="22"/>
      <c r="AY61" s="15"/>
      <c r="AZ61" s="15"/>
      <c r="BA61" s="15"/>
      <c r="BB61" s="36"/>
      <c r="BC61" s="32"/>
      <c r="BD61" s="15"/>
      <c r="BE61" s="16"/>
      <c r="BF61" s="15"/>
      <c r="BG61" s="207"/>
      <c r="BH61" s="207"/>
      <c r="BI61" s="207"/>
      <c r="BJ61" s="207"/>
      <c r="BK61" s="207"/>
      <c r="BL61" s="207"/>
      <c r="BM61" s="207"/>
      <c r="BN61" s="207"/>
      <c r="BO61" s="207"/>
      <c r="BP61" s="207"/>
      <c r="BQ61" s="207"/>
      <c r="BR61" s="207"/>
    </row>
    <row r="62" spans="1:103" ht="27" customHeight="1">
      <c r="A62" s="267"/>
      <c r="B62" s="267"/>
      <c r="C62" s="268"/>
      <c r="D62" s="268"/>
      <c r="E62" s="268"/>
      <c r="F62" s="268"/>
      <c r="G62" s="269"/>
      <c r="H62" s="269"/>
      <c r="I62" s="269"/>
      <c r="J62" s="269"/>
      <c r="K62" s="269"/>
      <c r="L62" s="269"/>
      <c r="M62" s="269"/>
      <c r="N62" s="269"/>
      <c r="O62" s="269"/>
      <c r="P62" s="269"/>
      <c r="Q62" s="269"/>
      <c r="R62" s="235"/>
      <c r="S62" s="235"/>
      <c r="T62" s="236"/>
      <c r="U62" s="213"/>
      <c r="V62" s="214"/>
      <c r="W62" s="262"/>
      <c r="X62" s="263"/>
      <c r="Y62" s="227"/>
      <c r="Z62" s="228"/>
      <c r="AA62" s="258"/>
      <c r="AB62" s="258"/>
      <c r="AC62" s="258"/>
      <c r="AD62" s="229"/>
      <c r="AE62" s="230"/>
      <c r="AF62" s="265"/>
      <c r="AG62" s="265"/>
      <c r="AH62" s="265"/>
      <c r="AI62" s="265"/>
      <c r="AJ62" s="265"/>
      <c r="AK62" s="265"/>
      <c r="AL62" s="265"/>
      <c r="AM62" s="265"/>
      <c r="AN62" s="265"/>
      <c r="AO62" s="265"/>
      <c r="AP62" s="265"/>
      <c r="AQ62" s="265"/>
      <c r="AR62" s="265"/>
      <c r="AS62" s="265"/>
      <c r="AT62" s="265"/>
      <c r="AU62" s="265"/>
      <c r="AV62" s="265"/>
      <c r="AW62" s="231"/>
      <c r="AX62" s="22"/>
      <c r="AY62" s="15"/>
      <c r="AZ62" s="15"/>
      <c r="BA62" s="15"/>
      <c r="BB62" s="31"/>
      <c r="BC62" s="32"/>
      <c r="BD62" s="15"/>
      <c r="BE62" s="16"/>
      <c r="BF62" s="15"/>
      <c r="BG62" s="207"/>
      <c r="BH62" s="207"/>
      <c r="BI62" s="207"/>
      <c r="BJ62" s="207"/>
      <c r="BK62" s="207"/>
      <c r="BL62" s="207"/>
      <c r="BM62" s="207"/>
      <c r="BN62" s="207"/>
      <c r="BO62" s="207"/>
      <c r="BP62" s="207"/>
      <c r="BQ62" s="207"/>
      <c r="BR62" s="207"/>
    </row>
    <row r="63" spans="1:103" ht="27" customHeight="1">
      <c r="A63" s="267"/>
      <c r="B63" s="267"/>
      <c r="C63" s="268"/>
      <c r="D63" s="268"/>
      <c r="E63" s="268"/>
      <c r="F63" s="268"/>
      <c r="G63" s="269"/>
      <c r="H63" s="269"/>
      <c r="I63" s="269"/>
      <c r="J63" s="269"/>
      <c r="K63" s="269"/>
      <c r="L63" s="269"/>
      <c r="M63" s="269"/>
      <c r="N63" s="269"/>
      <c r="O63" s="269"/>
      <c r="P63" s="269"/>
      <c r="Q63" s="269"/>
      <c r="R63" s="235"/>
      <c r="S63" s="235"/>
      <c r="T63" s="236"/>
      <c r="U63" s="215"/>
      <c r="V63" s="214"/>
      <c r="W63" s="262"/>
      <c r="X63" s="263"/>
      <c r="Y63" s="227"/>
      <c r="Z63" s="228"/>
      <c r="AA63" s="258"/>
      <c r="AB63" s="258"/>
      <c r="AC63" s="258"/>
      <c r="AD63" s="229"/>
      <c r="AE63" s="230"/>
      <c r="AF63" s="265"/>
      <c r="AG63" s="265"/>
      <c r="AH63" s="265"/>
      <c r="AI63" s="265"/>
      <c r="AJ63" s="265"/>
      <c r="AK63" s="265"/>
      <c r="AL63" s="265"/>
      <c r="AM63" s="265"/>
      <c r="AN63" s="265"/>
      <c r="AO63" s="265"/>
      <c r="AP63" s="265"/>
      <c r="AQ63" s="265"/>
      <c r="AR63" s="265"/>
      <c r="AS63" s="265"/>
      <c r="AT63" s="265"/>
      <c r="AU63" s="265"/>
      <c r="AV63" s="265"/>
      <c r="AW63" s="231"/>
      <c r="AX63" s="22"/>
      <c r="AY63" s="15"/>
      <c r="AZ63" s="15"/>
      <c r="BA63" s="15"/>
      <c r="BB63" s="36"/>
      <c r="BC63" s="32"/>
      <c r="BD63" s="15"/>
      <c r="BE63" s="16"/>
      <c r="BF63" s="15"/>
      <c r="BG63" s="207"/>
      <c r="BH63" s="207"/>
      <c r="BI63" s="207"/>
      <c r="BJ63" s="207"/>
      <c r="BK63" s="207"/>
      <c r="BL63" s="207"/>
      <c r="BM63" s="207"/>
      <c r="BN63" s="207"/>
      <c r="BO63" s="207"/>
      <c r="BP63" s="207"/>
      <c r="BQ63" s="207"/>
      <c r="BR63" s="207"/>
    </row>
    <row r="64" spans="1:103" ht="27" customHeight="1">
      <c r="A64" s="270"/>
      <c r="B64" s="270"/>
      <c r="C64" s="270"/>
      <c r="D64" s="270"/>
      <c r="E64" s="270"/>
      <c r="F64" s="270"/>
      <c r="G64" s="270"/>
      <c r="H64" s="270"/>
      <c r="I64" s="270"/>
      <c r="J64" s="270"/>
      <c r="K64" s="270"/>
      <c r="L64" s="270"/>
      <c r="M64" s="270"/>
      <c r="N64" s="270"/>
      <c r="O64" s="270"/>
      <c r="P64" s="270"/>
      <c r="Q64" s="270"/>
      <c r="R64" s="270"/>
      <c r="S64" s="270"/>
      <c r="T64" s="270"/>
      <c r="U64" s="270"/>
      <c r="V64" s="214"/>
      <c r="W64" s="262"/>
      <c r="X64" s="263"/>
      <c r="Y64" s="227"/>
      <c r="Z64" s="228"/>
      <c r="AA64" s="258"/>
      <c r="AB64" s="258"/>
      <c r="AC64" s="258"/>
      <c r="AD64" s="229"/>
      <c r="AE64" s="230"/>
      <c r="AF64" s="265"/>
      <c r="AG64" s="265"/>
      <c r="AH64" s="265"/>
      <c r="AI64" s="265"/>
      <c r="AJ64" s="265"/>
      <c r="AK64" s="265"/>
      <c r="AL64" s="265"/>
      <c r="AM64" s="265"/>
      <c r="AN64" s="265"/>
      <c r="AO64" s="265"/>
      <c r="AP64" s="265"/>
      <c r="AQ64" s="265"/>
      <c r="AR64" s="265"/>
      <c r="AS64" s="265"/>
      <c r="AT64" s="265"/>
      <c r="AU64" s="265"/>
      <c r="AV64" s="265"/>
      <c r="AW64" s="231"/>
      <c r="AX64" s="22"/>
      <c r="AY64" s="15"/>
      <c r="AZ64" s="15"/>
      <c r="BA64" s="15"/>
      <c r="BB64" s="36"/>
      <c r="BC64" s="32"/>
      <c r="BD64" s="15"/>
      <c r="BE64" s="16"/>
      <c r="BF64" s="15"/>
      <c r="BG64" s="207"/>
      <c r="BH64" s="207"/>
      <c r="BI64" s="207"/>
      <c r="BJ64" s="207"/>
      <c r="BK64" s="207"/>
      <c r="BL64" s="207"/>
      <c r="BM64" s="207"/>
      <c r="BN64" s="207"/>
      <c r="BO64" s="207"/>
      <c r="BP64" s="207"/>
      <c r="BQ64" s="207"/>
      <c r="BR64" s="207"/>
    </row>
    <row r="65" spans="1:70" ht="27" customHeight="1">
      <c r="A65" s="270"/>
      <c r="B65" s="270"/>
      <c r="C65" s="270"/>
      <c r="D65" s="270"/>
      <c r="E65" s="270"/>
      <c r="F65" s="270"/>
      <c r="G65" s="270"/>
      <c r="H65" s="270"/>
      <c r="I65" s="270"/>
      <c r="J65" s="270"/>
      <c r="K65" s="270"/>
      <c r="L65" s="270"/>
      <c r="M65" s="270"/>
      <c r="N65" s="270"/>
      <c r="O65" s="270"/>
      <c r="P65" s="270"/>
      <c r="Q65" s="270"/>
      <c r="R65" s="270"/>
      <c r="S65" s="270"/>
      <c r="T65" s="270"/>
      <c r="U65" s="270"/>
      <c r="V65" s="214"/>
      <c r="W65" s="262"/>
      <c r="X65" s="263"/>
      <c r="Y65" s="227"/>
      <c r="Z65" s="228"/>
      <c r="AA65" s="258"/>
      <c r="AB65" s="258"/>
      <c r="AC65" s="258"/>
      <c r="AD65" s="229"/>
      <c r="AE65" s="230"/>
      <c r="AF65" s="265"/>
      <c r="AG65" s="265"/>
      <c r="AH65" s="265"/>
      <c r="AI65" s="265"/>
      <c r="AJ65" s="265"/>
      <c r="AK65" s="265"/>
      <c r="AL65" s="265"/>
      <c r="AM65" s="265"/>
      <c r="AN65" s="265"/>
      <c r="AO65" s="265"/>
      <c r="AP65" s="265"/>
      <c r="AQ65" s="265"/>
      <c r="AR65" s="265"/>
      <c r="AS65" s="265"/>
      <c r="AT65" s="265"/>
      <c r="AU65" s="265"/>
      <c r="AV65" s="265"/>
      <c r="AW65" s="231"/>
      <c r="AX65" s="22"/>
      <c r="AY65" s="15"/>
      <c r="AZ65" s="15"/>
      <c r="BA65" s="15"/>
      <c r="BB65" s="36"/>
      <c r="BC65" s="32"/>
      <c r="BD65" s="15"/>
      <c r="BE65" s="16"/>
      <c r="BF65" s="15"/>
      <c r="BG65" s="207"/>
      <c r="BH65" s="207"/>
      <c r="BI65" s="207"/>
      <c r="BJ65" s="207"/>
      <c r="BK65" s="207"/>
      <c r="BL65" s="207"/>
      <c r="BM65" s="207"/>
      <c r="BN65" s="207"/>
      <c r="BO65" s="207"/>
      <c r="BP65" s="207"/>
      <c r="BQ65" s="207"/>
      <c r="BR65" s="207"/>
    </row>
    <row r="66" spans="1:70" ht="27" customHeight="1">
      <c r="A66" s="270"/>
      <c r="B66" s="270"/>
      <c r="C66" s="270"/>
      <c r="D66" s="270"/>
      <c r="E66" s="270"/>
      <c r="F66" s="270"/>
      <c r="G66" s="270"/>
      <c r="H66" s="270"/>
      <c r="I66" s="270"/>
      <c r="J66" s="270"/>
      <c r="K66" s="270"/>
      <c r="L66" s="270"/>
      <c r="M66" s="270"/>
      <c r="N66" s="270"/>
      <c r="O66" s="270"/>
      <c r="P66" s="270"/>
      <c r="Q66" s="270"/>
      <c r="R66" s="270"/>
      <c r="S66" s="270"/>
      <c r="T66" s="270"/>
      <c r="U66" s="270"/>
      <c r="V66" s="214"/>
      <c r="W66" s="262"/>
      <c r="X66" s="263"/>
      <c r="Y66" s="227"/>
      <c r="Z66" s="228"/>
      <c r="AA66" s="258"/>
      <c r="AB66" s="258"/>
      <c r="AC66" s="258"/>
      <c r="AD66" s="229"/>
      <c r="AE66" s="230"/>
      <c r="AF66" s="265"/>
      <c r="AG66" s="265"/>
      <c r="AH66" s="265"/>
      <c r="AI66" s="265"/>
      <c r="AJ66" s="265"/>
      <c r="AK66" s="265"/>
      <c r="AL66" s="265"/>
      <c r="AM66" s="265"/>
      <c r="AN66" s="265"/>
      <c r="AO66" s="265"/>
      <c r="AP66" s="265"/>
      <c r="AQ66" s="265"/>
      <c r="AR66" s="265"/>
      <c r="AS66" s="265"/>
      <c r="AT66" s="265"/>
      <c r="AU66" s="265"/>
      <c r="AV66" s="265"/>
      <c r="AW66" s="231"/>
      <c r="AX66" s="22"/>
      <c r="AY66" s="15"/>
      <c r="AZ66" s="15"/>
      <c r="BA66" s="15"/>
      <c r="BB66" s="36"/>
      <c r="BC66" s="32"/>
      <c r="BD66" s="15"/>
      <c r="BE66" s="16"/>
      <c r="BF66" s="15"/>
      <c r="BG66" s="207"/>
      <c r="BH66" s="207"/>
      <c r="BI66" s="207"/>
      <c r="BJ66" s="207"/>
      <c r="BK66" s="207"/>
      <c r="BL66" s="207"/>
      <c r="BM66" s="207"/>
      <c r="BN66" s="207"/>
      <c r="BO66" s="207"/>
      <c r="BP66" s="207"/>
      <c r="BQ66" s="207"/>
      <c r="BR66" s="207"/>
    </row>
    <row r="67" spans="1:70" ht="27" customHeight="1">
      <c r="A67" s="270"/>
      <c r="B67" s="270"/>
      <c r="C67" s="270"/>
      <c r="D67" s="270"/>
      <c r="E67" s="270"/>
      <c r="F67" s="270"/>
      <c r="G67" s="270"/>
      <c r="H67" s="270"/>
      <c r="I67" s="270"/>
      <c r="J67" s="270"/>
      <c r="K67" s="270"/>
      <c r="L67" s="270"/>
      <c r="M67" s="270"/>
      <c r="N67" s="270"/>
      <c r="O67" s="270"/>
      <c r="P67" s="270"/>
      <c r="Q67" s="270"/>
      <c r="R67" s="270"/>
      <c r="S67" s="270"/>
      <c r="T67" s="270"/>
      <c r="U67" s="270"/>
      <c r="V67" s="214"/>
      <c r="W67" s="262"/>
      <c r="X67" s="263"/>
      <c r="Y67" s="227"/>
      <c r="Z67" s="228"/>
      <c r="AA67" s="258"/>
      <c r="AB67" s="258"/>
      <c r="AC67" s="258"/>
      <c r="AD67" s="229"/>
      <c r="AE67" s="230"/>
      <c r="AF67" s="265"/>
      <c r="AG67" s="265"/>
      <c r="AH67" s="265"/>
      <c r="AI67" s="265"/>
      <c r="AJ67" s="265"/>
      <c r="AK67" s="265"/>
      <c r="AL67" s="265"/>
      <c r="AM67" s="265"/>
      <c r="AN67" s="265"/>
      <c r="AO67" s="265"/>
      <c r="AP67" s="265"/>
      <c r="AQ67" s="265"/>
      <c r="AR67" s="265"/>
      <c r="AS67" s="265"/>
      <c r="AT67" s="265"/>
      <c r="AU67" s="265"/>
      <c r="AV67" s="265"/>
      <c r="AW67" s="231"/>
      <c r="AX67" s="22"/>
      <c r="AY67" s="15"/>
      <c r="AZ67" s="15"/>
      <c r="BA67" s="15"/>
      <c r="BB67" s="36"/>
      <c r="BC67" s="32"/>
      <c r="BD67" s="15"/>
      <c r="BE67" s="16"/>
      <c r="BF67" s="15"/>
      <c r="BG67" s="207"/>
      <c r="BH67" s="207"/>
      <c r="BI67" s="207"/>
      <c r="BJ67" s="207"/>
      <c r="BK67" s="207"/>
      <c r="BL67" s="207"/>
      <c r="BM67" s="207"/>
      <c r="BN67" s="207"/>
      <c r="BO67" s="207"/>
      <c r="BP67" s="207"/>
      <c r="BQ67" s="207"/>
      <c r="BR67" s="207"/>
    </row>
    <row r="68" spans="1:70" ht="27" customHeight="1">
      <c r="A68" s="271"/>
      <c r="B68" s="262"/>
      <c r="C68" s="262"/>
      <c r="D68" s="262"/>
      <c r="E68" s="262"/>
      <c r="F68" s="262"/>
      <c r="G68" s="262"/>
      <c r="H68" s="237"/>
      <c r="I68" s="259"/>
      <c r="J68" s="272"/>
      <c r="K68" s="273"/>
      <c r="L68" s="272"/>
      <c r="M68" s="272"/>
      <c r="N68" s="274"/>
      <c r="O68" s="262"/>
      <c r="P68" s="274"/>
      <c r="Q68" s="262"/>
      <c r="R68" s="274"/>
      <c r="S68" s="262"/>
      <c r="T68" s="275"/>
      <c r="U68" s="275"/>
      <c r="V68" s="214"/>
      <c r="W68" s="262"/>
      <c r="X68" s="263"/>
      <c r="Y68" s="227"/>
      <c r="Z68" s="228"/>
      <c r="AA68" s="258"/>
      <c r="AB68" s="258"/>
      <c r="AC68" s="258"/>
      <c r="AD68" s="229"/>
      <c r="AE68" s="230"/>
      <c r="AF68" s="265"/>
      <c r="AG68" s="265"/>
      <c r="AH68" s="265"/>
      <c r="AI68" s="265"/>
      <c r="AJ68" s="265"/>
      <c r="AK68" s="265"/>
      <c r="AL68" s="265"/>
      <c r="AM68" s="265"/>
      <c r="AN68" s="265"/>
      <c r="AO68" s="265"/>
      <c r="AP68" s="265"/>
      <c r="AQ68" s="265"/>
      <c r="AR68" s="265"/>
      <c r="AS68" s="265"/>
      <c r="AT68" s="265"/>
      <c r="AU68" s="265"/>
      <c r="AV68" s="265"/>
      <c r="AW68" s="231"/>
      <c r="AX68" s="22"/>
      <c r="AY68" s="15"/>
      <c r="AZ68" s="15"/>
      <c r="BA68" s="15"/>
      <c r="BB68" s="36"/>
      <c r="BC68" s="32"/>
      <c r="BD68" s="15"/>
      <c r="BE68" s="16"/>
      <c r="BF68" s="15"/>
      <c r="BG68" s="207"/>
      <c r="BH68" s="207"/>
      <c r="BI68" s="207"/>
      <c r="BJ68" s="207"/>
      <c r="BK68" s="207"/>
      <c r="BL68" s="207"/>
      <c r="BM68" s="207"/>
      <c r="BN68" s="207"/>
      <c r="BO68" s="207"/>
      <c r="BP68" s="207"/>
      <c r="BQ68" s="207"/>
      <c r="BR68" s="207"/>
    </row>
    <row r="69" spans="1:70" ht="27" customHeight="1">
      <c r="A69" s="271"/>
      <c r="B69" s="262"/>
      <c r="C69" s="262"/>
      <c r="D69" s="262"/>
      <c r="E69" s="262"/>
      <c r="F69" s="262"/>
      <c r="G69" s="262"/>
      <c r="H69" s="237"/>
      <c r="I69" s="259"/>
      <c r="J69" s="262"/>
      <c r="K69" s="262"/>
      <c r="L69" s="262"/>
      <c r="M69" s="262"/>
      <c r="N69" s="262"/>
      <c r="O69" s="262"/>
      <c r="P69" s="262"/>
      <c r="Q69" s="262"/>
      <c r="R69" s="262"/>
      <c r="S69" s="262"/>
      <c r="T69" s="276"/>
      <c r="U69" s="276"/>
      <c r="V69" s="214"/>
      <c r="W69" s="262"/>
      <c r="X69" s="263"/>
      <c r="Y69" s="227"/>
      <c r="Z69" s="228"/>
      <c r="AA69" s="258"/>
      <c r="AB69" s="258"/>
      <c r="AC69" s="258"/>
      <c r="AD69" s="229"/>
      <c r="AE69" s="230"/>
      <c r="AF69" s="265"/>
      <c r="AG69" s="265"/>
      <c r="AH69" s="265"/>
      <c r="AI69" s="265"/>
      <c r="AJ69" s="265"/>
      <c r="AK69" s="265"/>
      <c r="AL69" s="265"/>
      <c r="AM69" s="265"/>
      <c r="AN69" s="265"/>
      <c r="AO69" s="265"/>
      <c r="AP69" s="265"/>
      <c r="AQ69" s="265"/>
      <c r="AR69" s="265"/>
      <c r="AS69" s="265"/>
      <c r="AT69" s="265"/>
      <c r="AU69" s="265"/>
      <c r="AV69" s="265"/>
      <c r="AW69" s="231"/>
      <c r="AX69" s="22"/>
      <c r="AY69" s="15"/>
      <c r="AZ69" s="15"/>
      <c r="BA69" s="15"/>
      <c r="BB69" s="36"/>
      <c r="BC69" s="32"/>
      <c r="BD69" s="15"/>
      <c r="BE69" s="16"/>
      <c r="BF69" s="15"/>
      <c r="BG69" s="207"/>
      <c r="BH69" s="207"/>
      <c r="BI69" s="207"/>
      <c r="BJ69" s="207"/>
      <c r="BK69" s="207"/>
      <c r="BL69" s="207"/>
      <c r="BM69" s="207"/>
      <c r="BN69" s="207"/>
      <c r="BO69" s="207"/>
      <c r="BP69" s="207"/>
      <c r="BQ69" s="207"/>
      <c r="BR69" s="207"/>
    </row>
    <row r="70" spans="1:70" ht="27" customHeight="1">
      <c r="A70" s="271"/>
      <c r="B70" s="277"/>
      <c r="C70" s="272"/>
      <c r="D70" s="273"/>
      <c r="E70" s="273"/>
      <c r="F70" s="273"/>
      <c r="G70" s="273"/>
      <c r="H70" s="238"/>
      <c r="I70" s="239"/>
      <c r="J70" s="278"/>
      <c r="K70" s="278"/>
      <c r="L70" s="278"/>
      <c r="M70" s="278"/>
      <c r="N70" s="278"/>
      <c r="O70" s="278"/>
      <c r="P70" s="278"/>
      <c r="Q70" s="278"/>
      <c r="R70" s="278"/>
      <c r="S70" s="278"/>
      <c r="T70" s="242"/>
      <c r="U70" s="242"/>
      <c r="V70" s="214"/>
      <c r="W70" s="262"/>
      <c r="X70" s="263"/>
      <c r="Y70" s="227"/>
      <c r="Z70" s="227"/>
      <c r="AA70" s="227"/>
      <c r="AB70" s="227"/>
      <c r="AC70" s="227"/>
      <c r="AD70" s="227"/>
      <c r="AE70" s="227"/>
      <c r="AF70" s="249"/>
      <c r="AG70" s="249"/>
      <c r="AH70" s="249"/>
      <c r="AI70" s="249"/>
      <c r="AJ70" s="249"/>
      <c r="AK70" s="249"/>
      <c r="AL70" s="249"/>
      <c r="AM70" s="249"/>
      <c r="AN70" s="249"/>
      <c r="AO70" s="249"/>
      <c r="AP70" s="249"/>
      <c r="AQ70" s="249"/>
      <c r="AR70" s="249"/>
      <c r="AS70" s="249"/>
      <c r="AT70" s="249"/>
      <c r="AU70" s="249"/>
      <c r="AV70" s="249"/>
      <c r="AW70" s="231"/>
      <c r="AX70" s="22"/>
      <c r="AY70" s="15"/>
      <c r="AZ70" s="15"/>
      <c r="BA70" s="15"/>
      <c r="BB70" s="36"/>
      <c r="BC70" s="32"/>
      <c r="BD70" s="15"/>
      <c r="BE70" s="16"/>
      <c r="BF70" s="15"/>
      <c r="BG70" s="207"/>
      <c r="BH70" s="207"/>
      <c r="BI70" s="207"/>
      <c r="BJ70" s="207"/>
      <c r="BK70" s="207"/>
      <c r="BL70" s="207"/>
      <c r="BM70" s="207"/>
      <c r="BN70" s="207"/>
      <c r="BO70" s="207"/>
      <c r="BP70" s="207"/>
      <c r="BQ70" s="207"/>
      <c r="BR70" s="207"/>
    </row>
    <row r="71" spans="1:70" ht="27" customHeight="1">
      <c r="A71" s="271"/>
      <c r="B71" s="277"/>
      <c r="C71" s="279"/>
      <c r="D71" s="279"/>
      <c r="E71" s="279"/>
      <c r="F71" s="279"/>
      <c r="G71" s="279"/>
      <c r="H71" s="238"/>
      <c r="I71" s="240"/>
      <c r="J71" s="280"/>
      <c r="K71" s="280"/>
      <c r="L71" s="280"/>
      <c r="M71" s="280"/>
      <c r="N71" s="280"/>
      <c r="O71" s="280"/>
      <c r="P71" s="280"/>
      <c r="Q71" s="280"/>
      <c r="R71" s="280"/>
      <c r="S71" s="280"/>
      <c r="T71" s="242"/>
      <c r="U71" s="242"/>
      <c r="V71" s="214"/>
      <c r="W71" s="262"/>
      <c r="X71" s="263"/>
      <c r="Y71" s="260"/>
      <c r="Z71" s="260"/>
      <c r="AA71" s="260"/>
      <c r="AB71" s="260"/>
      <c r="AC71" s="260"/>
      <c r="AD71" s="241"/>
      <c r="AE71" s="230"/>
      <c r="AF71" s="265"/>
      <c r="AG71" s="265"/>
      <c r="AH71" s="265"/>
      <c r="AI71" s="265"/>
      <c r="AJ71" s="265"/>
      <c r="AK71" s="265"/>
      <c r="AL71" s="265"/>
      <c r="AM71" s="265"/>
      <c r="AN71" s="265"/>
      <c r="AO71" s="265"/>
      <c r="AP71" s="265"/>
      <c r="AQ71" s="265"/>
      <c r="AR71" s="265"/>
      <c r="AS71" s="265"/>
      <c r="AT71" s="265"/>
      <c r="AU71" s="265"/>
      <c r="AV71" s="265"/>
      <c r="AW71" s="242"/>
      <c r="AX71" s="22"/>
      <c r="AY71" s="15"/>
      <c r="AZ71" s="15"/>
      <c r="BA71" s="15"/>
      <c r="BB71" s="31"/>
      <c r="BC71" s="32"/>
      <c r="BD71" s="15"/>
      <c r="BE71" s="16"/>
      <c r="BF71" s="15"/>
      <c r="BG71" s="207"/>
      <c r="BH71" s="207"/>
      <c r="BI71" s="207"/>
      <c r="BJ71" s="207"/>
      <c r="BK71" s="207"/>
      <c r="BL71" s="207"/>
      <c r="BM71" s="207"/>
      <c r="BN71" s="207"/>
      <c r="BO71" s="207"/>
      <c r="BP71" s="207"/>
      <c r="BQ71" s="207"/>
      <c r="BR71" s="207"/>
    </row>
    <row r="72" spans="1:70" ht="27" customHeight="1">
      <c r="A72" s="271"/>
      <c r="B72" s="277"/>
      <c r="C72" s="279"/>
      <c r="D72" s="279"/>
      <c r="E72" s="279"/>
      <c r="F72" s="279"/>
      <c r="G72" s="279"/>
      <c r="H72" s="238"/>
      <c r="I72" s="240"/>
      <c r="J72" s="280"/>
      <c r="K72" s="280"/>
      <c r="L72" s="280"/>
      <c r="M72" s="280"/>
      <c r="N72" s="280"/>
      <c r="O72" s="280"/>
      <c r="P72" s="280"/>
      <c r="Q72" s="280"/>
      <c r="R72" s="280"/>
      <c r="S72" s="280"/>
      <c r="T72" s="242"/>
      <c r="U72" s="242"/>
      <c r="V72" s="214"/>
      <c r="W72" s="262"/>
      <c r="X72" s="263"/>
      <c r="Y72" s="281"/>
      <c r="Z72" s="281"/>
      <c r="AA72" s="281"/>
      <c r="AB72" s="281"/>
      <c r="AC72" s="281"/>
      <c r="AD72" s="221"/>
      <c r="AE72" s="230"/>
      <c r="AF72" s="265"/>
      <c r="AG72" s="265"/>
      <c r="AH72" s="265"/>
      <c r="AI72" s="265"/>
      <c r="AJ72" s="265"/>
      <c r="AK72" s="265"/>
      <c r="AL72" s="265"/>
      <c r="AM72" s="265"/>
      <c r="AN72" s="265"/>
      <c r="AO72" s="265"/>
      <c r="AP72" s="265"/>
      <c r="AQ72" s="265"/>
      <c r="AR72" s="265"/>
      <c r="AS72" s="265"/>
      <c r="AT72" s="265"/>
      <c r="AU72" s="265"/>
      <c r="AV72" s="265"/>
      <c r="AW72" s="242"/>
      <c r="AX72" s="22"/>
      <c r="AY72" s="15"/>
      <c r="AZ72" s="15"/>
      <c r="BA72" s="15"/>
      <c r="BB72" s="36"/>
      <c r="BC72" s="32"/>
      <c r="BD72" s="15"/>
      <c r="BE72" s="16"/>
      <c r="BF72" s="15"/>
    </row>
    <row r="73" spans="1:70" ht="27" customHeight="1">
      <c r="A73" s="271"/>
      <c r="B73" s="277"/>
      <c r="C73" s="282"/>
      <c r="D73" s="282"/>
      <c r="E73" s="282"/>
      <c r="F73" s="282"/>
      <c r="G73" s="282"/>
      <c r="H73" s="238"/>
      <c r="I73" s="240"/>
      <c r="J73" s="280"/>
      <c r="K73" s="280"/>
      <c r="L73" s="280"/>
      <c r="M73" s="280"/>
      <c r="N73" s="280"/>
      <c r="O73" s="280"/>
      <c r="P73" s="280"/>
      <c r="Q73" s="280"/>
      <c r="R73" s="280"/>
      <c r="S73" s="280"/>
      <c r="T73" s="242"/>
      <c r="U73" s="242"/>
      <c r="V73" s="214"/>
      <c r="W73" s="262"/>
      <c r="X73" s="263"/>
      <c r="Y73" s="281"/>
      <c r="Z73" s="281"/>
      <c r="AA73" s="281"/>
      <c r="AB73" s="281"/>
      <c r="AC73" s="281"/>
      <c r="AD73" s="221"/>
      <c r="AE73" s="230"/>
      <c r="AF73" s="265"/>
      <c r="AG73" s="265"/>
      <c r="AH73" s="265"/>
      <c r="AI73" s="265"/>
      <c r="AJ73" s="265"/>
      <c r="AK73" s="265"/>
      <c r="AL73" s="265"/>
      <c r="AM73" s="265"/>
      <c r="AN73" s="265"/>
      <c r="AO73" s="265"/>
      <c r="AP73" s="265"/>
      <c r="AQ73" s="265"/>
      <c r="AR73" s="265"/>
      <c r="AS73" s="265"/>
      <c r="AT73" s="265"/>
      <c r="AU73" s="265"/>
      <c r="AV73" s="265"/>
      <c r="AW73" s="242"/>
      <c r="AX73" s="22"/>
      <c r="AY73" s="15"/>
      <c r="AZ73" s="15"/>
      <c r="BA73" s="15"/>
      <c r="BB73" s="36"/>
      <c r="BC73" s="32"/>
      <c r="BD73" s="15"/>
      <c r="BE73" s="16"/>
      <c r="BF73" s="15"/>
    </row>
    <row r="74" spans="1:70" ht="27" customHeight="1">
      <c r="A74" s="271"/>
      <c r="B74" s="277"/>
      <c r="C74" s="282"/>
      <c r="D74" s="282"/>
      <c r="E74" s="282"/>
      <c r="F74" s="282"/>
      <c r="G74" s="282"/>
      <c r="H74" s="238"/>
      <c r="I74" s="240"/>
      <c r="J74" s="280"/>
      <c r="K74" s="280"/>
      <c r="L74" s="280"/>
      <c r="M74" s="280"/>
      <c r="N74" s="280"/>
      <c r="O74" s="280"/>
      <c r="P74" s="280"/>
      <c r="Q74" s="280"/>
      <c r="R74" s="280"/>
      <c r="S74" s="280"/>
      <c r="T74" s="242"/>
      <c r="U74" s="242"/>
      <c r="V74" s="214"/>
      <c r="W74" s="262"/>
      <c r="X74" s="263"/>
      <c r="Y74" s="260"/>
      <c r="Z74" s="260"/>
      <c r="AA74" s="260"/>
      <c r="AB74" s="260"/>
      <c r="AC74" s="260"/>
      <c r="AD74" s="245"/>
      <c r="AE74" s="246"/>
      <c r="AF74" s="265"/>
      <c r="AG74" s="265"/>
      <c r="AH74" s="265"/>
      <c r="AI74" s="265"/>
      <c r="AJ74" s="265"/>
      <c r="AK74" s="265"/>
      <c r="AL74" s="265"/>
      <c r="AM74" s="265"/>
      <c r="AN74" s="265"/>
      <c r="AO74" s="265"/>
      <c r="AP74" s="265"/>
      <c r="AQ74" s="265"/>
      <c r="AR74" s="265"/>
      <c r="AS74" s="265"/>
      <c r="AT74" s="265"/>
      <c r="AU74" s="265"/>
      <c r="AV74" s="265"/>
      <c r="AW74" s="242"/>
      <c r="AX74" s="22"/>
      <c r="AY74" s="15"/>
      <c r="AZ74" s="15"/>
      <c r="BA74" s="15"/>
      <c r="BB74" s="36"/>
      <c r="BC74" s="32"/>
      <c r="BD74" s="15"/>
      <c r="BE74" s="16"/>
      <c r="BF74" s="15"/>
    </row>
    <row r="75" spans="1:70" ht="27" customHeight="1">
      <c r="A75" s="271"/>
      <c r="B75" s="277"/>
      <c r="C75" s="272"/>
      <c r="D75" s="273"/>
      <c r="E75" s="273"/>
      <c r="F75" s="273"/>
      <c r="G75" s="273"/>
      <c r="H75" s="238"/>
      <c r="I75" s="240"/>
      <c r="J75" s="280"/>
      <c r="K75" s="280"/>
      <c r="L75" s="280"/>
      <c r="M75" s="280"/>
      <c r="N75" s="280"/>
      <c r="O75" s="280"/>
      <c r="P75" s="280"/>
      <c r="Q75" s="280"/>
      <c r="R75" s="280"/>
      <c r="S75" s="280"/>
      <c r="T75" s="242"/>
      <c r="U75" s="242"/>
      <c r="V75" s="214"/>
      <c r="W75" s="262"/>
      <c r="X75" s="263"/>
      <c r="Y75" s="260"/>
      <c r="Z75" s="260"/>
      <c r="AA75" s="260"/>
      <c r="AB75" s="260"/>
      <c r="AC75" s="260"/>
      <c r="AD75" s="245"/>
      <c r="AE75" s="246"/>
      <c r="AF75" s="265"/>
      <c r="AG75" s="265"/>
      <c r="AH75" s="265"/>
      <c r="AI75" s="265"/>
      <c r="AJ75" s="265"/>
      <c r="AK75" s="265"/>
      <c r="AL75" s="265"/>
      <c r="AM75" s="265"/>
      <c r="AN75" s="265"/>
      <c r="AO75" s="265"/>
      <c r="AP75" s="265"/>
      <c r="AQ75" s="265"/>
      <c r="AR75" s="265"/>
      <c r="AS75" s="265"/>
      <c r="AT75" s="265"/>
      <c r="AU75" s="265"/>
      <c r="AV75" s="265"/>
      <c r="AW75" s="242"/>
      <c r="AX75" s="22"/>
      <c r="AY75" s="15"/>
      <c r="AZ75" s="15"/>
      <c r="BA75" s="15"/>
      <c r="BB75" s="36"/>
      <c r="BC75" s="32"/>
      <c r="BD75" s="15"/>
      <c r="BE75" s="16"/>
      <c r="BF75" s="15"/>
    </row>
    <row r="76" spans="1:70" ht="27" customHeight="1">
      <c r="A76" s="271"/>
      <c r="B76" s="277"/>
      <c r="C76" s="283"/>
      <c r="D76" s="283"/>
      <c r="E76" s="283"/>
      <c r="F76" s="283"/>
      <c r="G76" s="283"/>
      <c r="H76" s="283"/>
      <c r="I76" s="283"/>
      <c r="J76" s="284"/>
      <c r="K76" s="284"/>
      <c r="L76" s="284"/>
      <c r="M76" s="284"/>
      <c r="N76" s="284"/>
      <c r="O76" s="284"/>
      <c r="P76" s="284"/>
      <c r="Q76" s="284"/>
      <c r="R76" s="284"/>
      <c r="S76" s="284"/>
      <c r="T76" s="284"/>
      <c r="U76" s="284"/>
      <c r="V76" s="214"/>
      <c r="W76" s="262"/>
      <c r="X76" s="263"/>
      <c r="Y76" s="260"/>
      <c r="Z76" s="260"/>
      <c r="AA76" s="260"/>
      <c r="AB76" s="260"/>
      <c r="AC76" s="260"/>
      <c r="AD76" s="245"/>
      <c r="AE76" s="246"/>
      <c r="AF76" s="265"/>
      <c r="AG76" s="265"/>
      <c r="AH76" s="265"/>
      <c r="AI76" s="265"/>
      <c r="AJ76" s="265"/>
      <c r="AK76" s="265"/>
      <c r="AL76" s="265"/>
      <c r="AM76" s="265"/>
      <c r="AN76" s="265"/>
      <c r="AO76" s="265"/>
      <c r="AP76" s="265"/>
      <c r="AQ76" s="265"/>
      <c r="AR76" s="265"/>
      <c r="AS76" s="265"/>
      <c r="AT76" s="265"/>
      <c r="AU76" s="265"/>
      <c r="AV76" s="265"/>
      <c r="AW76" s="242"/>
      <c r="AX76" s="22"/>
      <c r="AY76" s="15"/>
      <c r="AZ76" s="15"/>
      <c r="BA76" s="15"/>
      <c r="BB76" s="36"/>
      <c r="BC76" s="32"/>
      <c r="BD76" s="15"/>
      <c r="BE76" s="16"/>
      <c r="BF76" s="15"/>
    </row>
    <row r="77" spans="1:70" ht="27" customHeight="1">
      <c r="A77" s="271"/>
      <c r="B77" s="285"/>
      <c r="C77" s="286"/>
      <c r="D77" s="266"/>
      <c r="E77" s="266"/>
      <c r="F77" s="266"/>
      <c r="G77" s="266"/>
      <c r="H77" s="243"/>
      <c r="I77" s="240"/>
      <c r="J77" s="280"/>
      <c r="K77" s="280"/>
      <c r="L77" s="280"/>
      <c r="M77" s="280"/>
      <c r="N77" s="280"/>
      <c r="O77" s="280"/>
      <c r="P77" s="280"/>
      <c r="Q77" s="280"/>
      <c r="R77" s="280"/>
      <c r="S77" s="280"/>
      <c r="T77" s="242"/>
      <c r="U77" s="242"/>
      <c r="V77" s="214"/>
      <c r="W77" s="262"/>
      <c r="X77" s="263"/>
      <c r="Y77" s="260"/>
      <c r="Z77" s="260"/>
      <c r="AA77" s="260"/>
      <c r="AB77" s="260"/>
      <c r="AC77" s="260"/>
      <c r="AD77" s="245"/>
      <c r="AE77" s="246"/>
      <c r="AF77" s="265"/>
      <c r="AG77" s="265"/>
      <c r="AH77" s="265"/>
      <c r="AI77" s="265"/>
      <c r="AJ77" s="265"/>
      <c r="AK77" s="265"/>
      <c r="AL77" s="265"/>
      <c r="AM77" s="265"/>
      <c r="AN77" s="265"/>
      <c r="AO77" s="265"/>
      <c r="AP77" s="265"/>
      <c r="AQ77" s="265"/>
      <c r="AR77" s="265"/>
      <c r="AS77" s="265"/>
      <c r="AT77" s="265"/>
      <c r="AU77" s="265"/>
      <c r="AV77" s="265"/>
      <c r="AW77" s="242"/>
      <c r="AX77" s="22"/>
      <c r="AY77" s="15"/>
      <c r="AZ77" s="15"/>
      <c r="BA77" s="15"/>
      <c r="BB77" s="31"/>
      <c r="BC77" s="32"/>
      <c r="BD77" s="15"/>
      <c r="BE77" s="16"/>
      <c r="BF77" s="15"/>
    </row>
    <row r="78" spans="1:70" ht="27" customHeight="1">
      <c r="A78" s="271"/>
      <c r="B78" s="285"/>
      <c r="C78" s="286"/>
      <c r="D78" s="266"/>
      <c r="E78" s="266"/>
      <c r="F78" s="266"/>
      <c r="G78" s="266"/>
      <c r="H78" s="244"/>
      <c r="I78" s="240"/>
      <c r="J78" s="280"/>
      <c r="K78" s="280"/>
      <c r="L78" s="280"/>
      <c r="M78" s="280"/>
      <c r="N78" s="280"/>
      <c r="O78" s="280"/>
      <c r="P78" s="280"/>
      <c r="Q78" s="280"/>
      <c r="R78" s="280"/>
      <c r="S78" s="280"/>
      <c r="T78" s="242"/>
      <c r="U78" s="242"/>
      <c r="V78" s="214"/>
      <c r="W78" s="262"/>
      <c r="X78" s="263"/>
      <c r="Y78" s="260"/>
      <c r="Z78" s="260"/>
      <c r="AA78" s="260"/>
      <c r="AB78" s="260"/>
      <c r="AC78" s="260"/>
      <c r="AD78" s="245"/>
      <c r="AE78" s="246"/>
      <c r="AF78" s="265"/>
      <c r="AG78" s="265"/>
      <c r="AH78" s="265"/>
      <c r="AI78" s="265"/>
      <c r="AJ78" s="265"/>
      <c r="AK78" s="265"/>
      <c r="AL78" s="265"/>
      <c r="AM78" s="265"/>
      <c r="AN78" s="265"/>
      <c r="AO78" s="265"/>
      <c r="AP78" s="265"/>
      <c r="AQ78" s="265"/>
      <c r="AR78" s="265"/>
      <c r="AS78" s="265"/>
      <c r="AT78" s="265"/>
      <c r="AU78" s="265"/>
      <c r="AV78" s="265"/>
      <c r="AW78" s="242"/>
      <c r="AX78" s="22"/>
      <c r="AY78" s="15"/>
      <c r="AZ78" s="15"/>
      <c r="BA78" s="15"/>
      <c r="BB78" s="36"/>
      <c r="BC78" s="32"/>
      <c r="BD78" s="15"/>
      <c r="BE78" s="16"/>
      <c r="BF78" s="15"/>
    </row>
    <row r="79" spans="1:70" ht="27" customHeight="1">
      <c r="A79" s="271"/>
      <c r="B79" s="285"/>
      <c r="C79" s="286"/>
      <c r="D79" s="266"/>
      <c r="E79" s="266"/>
      <c r="F79" s="266"/>
      <c r="G79" s="266"/>
      <c r="H79" s="244"/>
      <c r="I79" s="240"/>
      <c r="J79" s="280"/>
      <c r="K79" s="280"/>
      <c r="L79" s="280"/>
      <c r="M79" s="280"/>
      <c r="N79" s="280"/>
      <c r="O79" s="280"/>
      <c r="P79" s="280"/>
      <c r="Q79" s="280"/>
      <c r="R79" s="280"/>
      <c r="S79" s="280"/>
      <c r="T79" s="242"/>
      <c r="U79" s="242"/>
      <c r="V79" s="214"/>
      <c r="W79" s="262"/>
      <c r="X79" s="263"/>
      <c r="Y79" s="260"/>
      <c r="Z79" s="260"/>
      <c r="AA79" s="260"/>
      <c r="AB79" s="260"/>
      <c r="AC79" s="260"/>
      <c r="AD79" s="245"/>
      <c r="AE79" s="246"/>
      <c r="AF79" s="265"/>
      <c r="AG79" s="265"/>
      <c r="AH79" s="265"/>
      <c r="AI79" s="265"/>
      <c r="AJ79" s="265"/>
      <c r="AK79" s="265"/>
      <c r="AL79" s="265"/>
      <c r="AM79" s="265"/>
      <c r="AN79" s="265"/>
      <c r="AO79" s="265"/>
      <c r="AP79" s="265"/>
      <c r="AQ79" s="265"/>
      <c r="AR79" s="265"/>
      <c r="AS79" s="265"/>
      <c r="AT79" s="265"/>
      <c r="AU79" s="265"/>
      <c r="AV79" s="265"/>
      <c r="AW79" s="242"/>
      <c r="AX79" s="22"/>
      <c r="AY79" s="15"/>
      <c r="AZ79" s="15"/>
      <c r="BA79" s="15"/>
      <c r="BB79" s="36"/>
      <c r="BC79" s="32"/>
      <c r="BD79" s="15"/>
      <c r="BE79" s="16"/>
      <c r="BF79" s="15"/>
    </row>
    <row r="80" spans="1:70" ht="27" customHeight="1">
      <c r="A80" s="271"/>
      <c r="B80" s="285"/>
      <c r="C80" s="286"/>
      <c r="D80" s="266"/>
      <c r="E80" s="266"/>
      <c r="F80" s="266"/>
      <c r="G80" s="266"/>
      <c r="H80" s="244"/>
      <c r="I80" s="240"/>
      <c r="J80" s="280"/>
      <c r="K80" s="280"/>
      <c r="L80" s="280"/>
      <c r="M80" s="280"/>
      <c r="N80" s="280"/>
      <c r="O80" s="280"/>
      <c r="P80" s="280"/>
      <c r="Q80" s="280"/>
      <c r="R80" s="280"/>
      <c r="S80" s="280"/>
      <c r="T80" s="242"/>
      <c r="U80" s="242"/>
      <c r="V80" s="214"/>
      <c r="W80" s="262"/>
      <c r="X80" s="263"/>
      <c r="Y80" s="260"/>
      <c r="Z80" s="260"/>
      <c r="AA80" s="260"/>
      <c r="AB80" s="260"/>
      <c r="AC80" s="260"/>
      <c r="AD80" s="245"/>
      <c r="AE80" s="246"/>
      <c r="AF80" s="265"/>
      <c r="AG80" s="265"/>
      <c r="AH80" s="265"/>
      <c r="AI80" s="265"/>
      <c r="AJ80" s="265"/>
      <c r="AK80" s="265"/>
      <c r="AL80" s="265"/>
      <c r="AM80" s="265"/>
      <c r="AN80" s="265"/>
      <c r="AO80" s="265"/>
      <c r="AP80" s="265"/>
      <c r="AQ80" s="265"/>
      <c r="AR80" s="265"/>
      <c r="AS80" s="265"/>
      <c r="AT80" s="265"/>
      <c r="AU80" s="265"/>
      <c r="AV80" s="265"/>
      <c r="AW80" s="242"/>
      <c r="AX80" s="22"/>
      <c r="AY80" s="15"/>
      <c r="AZ80" s="15"/>
      <c r="BA80" s="15"/>
      <c r="BB80" s="36"/>
      <c r="BC80" s="32"/>
      <c r="BD80" s="15"/>
      <c r="BE80" s="16"/>
      <c r="BF80" s="15"/>
    </row>
    <row r="81" spans="1:58" ht="27" customHeight="1">
      <c r="A81" s="271"/>
      <c r="B81" s="285"/>
      <c r="C81" s="286"/>
      <c r="D81" s="274"/>
      <c r="E81" s="274"/>
      <c r="F81" s="262"/>
      <c r="G81" s="262"/>
      <c r="H81" s="244"/>
      <c r="I81" s="240"/>
      <c r="J81" s="280"/>
      <c r="K81" s="280"/>
      <c r="L81" s="280"/>
      <c r="M81" s="280"/>
      <c r="N81" s="280"/>
      <c r="O81" s="280"/>
      <c r="P81" s="280"/>
      <c r="Q81" s="280"/>
      <c r="R81" s="280"/>
      <c r="S81" s="280"/>
      <c r="T81" s="242"/>
      <c r="U81" s="242"/>
      <c r="V81" s="214"/>
      <c r="W81" s="262"/>
      <c r="X81" s="263"/>
      <c r="Y81" s="260"/>
      <c r="Z81" s="260"/>
      <c r="AA81" s="260"/>
      <c r="AB81" s="260"/>
      <c r="AC81" s="260"/>
      <c r="AD81" s="245"/>
      <c r="AE81" s="246"/>
      <c r="AF81" s="265"/>
      <c r="AG81" s="265"/>
      <c r="AH81" s="265"/>
      <c r="AI81" s="265"/>
      <c r="AJ81" s="265"/>
      <c r="AK81" s="265"/>
      <c r="AL81" s="265"/>
      <c r="AM81" s="265"/>
      <c r="AN81" s="265"/>
      <c r="AO81" s="265"/>
      <c r="AP81" s="265"/>
      <c r="AQ81" s="265"/>
      <c r="AR81" s="265"/>
      <c r="AS81" s="265"/>
      <c r="AT81" s="265"/>
      <c r="AU81" s="265"/>
      <c r="AV81" s="265"/>
      <c r="AW81" s="242"/>
      <c r="AX81" s="22"/>
      <c r="AY81" s="15"/>
      <c r="AZ81" s="15"/>
      <c r="BA81" s="15"/>
      <c r="BB81" s="36"/>
      <c r="BC81" s="32"/>
      <c r="BD81" s="15"/>
      <c r="BE81" s="16"/>
      <c r="BF81" s="15"/>
    </row>
    <row r="82" spans="1:58" ht="27" customHeight="1">
      <c r="A82" s="271"/>
      <c r="B82" s="285"/>
      <c r="C82" s="286"/>
      <c r="D82" s="274"/>
      <c r="E82" s="274"/>
      <c r="F82" s="262"/>
      <c r="G82" s="262"/>
      <c r="H82" s="244"/>
      <c r="I82" s="240"/>
      <c r="J82" s="280"/>
      <c r="K82" s="280"/>
      <c r="L82" s="280"/>
      <c r="M82" s="280"/>
      <c r="N82" s="280"/>
      <c r="O82" s="280"/>
      <c r="P82" s="280"/>
      <c r="Q82" s="280"/>
      <c r="R82" s="280"/>
      <c r="S82" s="280"/>
      <c r="T82" s="242"/>
      <c r="U82" s="242"/>
      <c r="V82" s="214"/>
      <c r="W82" s="262"/>
      <c r="X82" s="263"/>
      <c r="Y82" s="260"/>
      <c r="Z82" s="260"/>
      <c r="AA82" s="260"/>
      <c r="AB82" s="260"/>
      <c r="AC82" s="260"/>
      <c r="AD82" s="245"/>
      <c r="AE82" s="246"/>
      <c r="AF82" s="265"/>
      <c r="AG82" s="265"/>
      <c r="AH82" s="265"/>
      <c r="AI82" s="265"/>
      <c r="AJ82" s="265"/>
      <c r="AK82" s="265"/>
      <c r="AL82" s="265"/>
      <c r="AM82" s="265"/>
      <c r="AN82" s="265"/>
      <c r="AO82" s="265"/>
      <c r="AP82" s="265"/>
      <c r="AQ82" s="265"/>
      <c r="AR82" s="265"/>
      <c r="AS82" s="265"/>
      <c r="AT82" s="265"/>
      <c r="AU82" s="265"/>
      <c r="AV82" s="265"/>
      <c r="AW82" s="247"/>
      <c r="AX82" s="22"/>
      <c r="AY82" s="15"/>
      <c r="AZ82" s="15"/>
      <c r="BA82" s="15"/>
      <c r="BB82" s="36"/>
      <c r="BC82" s="32"/>
      <c r="BD82" s="15"/>
      <c r="BE82" s="16"/>
      <c r="BF82" s="15"/>
    </row>
    <row r="83" spans="1:58" ht="27" customHeight="1">
      <c r="A83" s="271"/>
      <c r="B83" s="285"/>
      <c r="C83" s="286"/>
      <c r="D83" s="262"/>
      <c r="E83" s="262"/>
      <c r="F83" s="262"/>
      <c r="G83" s="262"/>
      <c r="H83" s="243"/>
      <c r="I83" s="240"/>
      <c r="J83" s="280"/>
      <c r="K83" s="280"/>
      <c r="L83" s="280"/>
      <c r="M83" s="280"/>
      <c r="N83" s="280"/>
      <c r="O83" s="280"/>
      <c r="P83" s="280"/>
      <c r="Q83" s="280"/>
      <c r="R83" s="280"/>
      <c r="S83" s="280"/>
      <c r="T83" s="242"/>
      <c r="U83" s="242"/>
      <c r="V83" s="214"/>
      <c r="W83" s="262"/>
      <c r="X83" s="263"/>
      <c r="Y83" s="260"/>
      <c r="Z83" s="260"/>
      <c r="AA83" s="260"/>
      <c r="AB83" s="260"/>
      <c r="AC83" s="260"/>
      <c r="AD83" s="245"/>
      <c r="AE83" s="230"/>
      <c r="AF83" s="265"/>
      <c r="AG83" s="265"/>
      <c r="AH83" s="265"/>
      <c r="AI83" s="265"/>
      <c r="AJ83" s="265"/>
      <c r="AK83" s="265"/>
      <c r="AL83" s="265"/>
      <c r="AM83" s="265"/>
      <c r="AN83" s="265"/>
      <c r="AO83" s="265"/>
      <c r="AP83" s="265"/>
      <c r="AQ83" s="265"/>
      <c r="AR83" s="265"/>
      <c r="AS83" s="265"/>
      <c r="AT83" s="265"/>
      <c r="AU83" s="265"/>
      <c r="AV83" s="265"/>
      <c r="AW83" s="242"/>
      <c r="AX83" s="22"/>
      <c r="AY83" s="15"/>
      <c r="AZ83" s="15"/>
      <c r="BA83" s="15"/>
      <c r="BB83" s="36"/>
      <c r="BC83" s="32"/>
      <c r="BD83" s="15"/>
      <c r="BE83" s="16"/>
      <c r="BF83" s="15"/>
    </row>
    <row r="84" spans="1:58" ht="27" customHeight="1">
      <c r="A84" s="271"/>
      <c r="B84" s="285"/>
      <c r="C84" s="286"/>
      <c r="D84" s="262"/>
      <c r="E84" s="262"/>
      <c r="F84" s="262"/>
      <c r="G84" s="262"/>
      <c r="H84" s="244"/>
      <c r="I84" s="240"/>
      <c r="J84" s="280"/>
      <c r="K84" s="280"/>
      <c r="L84" s="280"/>
      <c r="M84" s="280"/>
      <c r="N84" s="280"/>
      <c r="O84" s="280"/>
      <c r="P84" s="280"/>
      <c r="Q84" s="280"/>
      <c r="R84" s="280"/>
      <c r="S84" s="280"/>
      <c r="T84" s="242"/>
      <c r="U84" s="242"/>
      <c r="V84" s="214"/>
      <c r="W84" s="262"/>
      <c r="X84" s="263"/>
      <c r="Y84" s="260"/>
      <c r="Z84" s="260"/>
      <c r="AA84" s="260"/>
      <c r="AB84" s="260"/>
      <c r="AC84" s="260"/>
      <c r="AD84" s="248"/>
      <c r="AE84" s="230"/>
      <c r="AF84" s="265"/>
      <c r="AG84" s="265"/>
      <c r="AH84" s="265"/>
      <c r="AI84" s="265"/>
      <c r="AJ84" s="265"/>
      <c r="AK84" s="265"/>
      <c r="AL84" s="265"/>
      <c r="AM84" s="265"/>
      <c r="AN84" s="265"/>
      <c r="AO84" s="265"/>
      <c r="AP84" s="265"/>
      <c r="AQ84" s="265"/>
      <c r="AR84" s="265"/>
      <c r="AS84" s="265"/>
      <c r="AT84" s="265"/>
      <c r="AU84" s="265"/>
      <c r="AV84" s="265"/>
      <c r="AW84" s="242"/>
      <c r="AX84" s="22"/>
      <c r="AY84" s="15"/>
      <c r="AZ84" s="32"/>
      <c r="BA84" s="32"/>
      <c r="BB84" s="36"/>
      <c r="BC84" s="32"/>
      <c r="BD84" s="32"/>
      <c r="BE84" s="31"/>
      <c r="BF84" s="32"/>
    </row>
    <row r="85" spans="1:58" ht="27" customHeight="1">
      <c r="A85" s="271"/>
      <c r="B85" s="285"/>
      <c r="C85" s="286"/>
      <c r="D85" s="262"/>
      <c r="E85" s="262"/>
      <c r="F85" s="262"/>
      <c r="G85" s="262"/>
      <c r="H85" s="243"/>
      <c r="I85" s="240"/>
      <c r="J85" s="280"/>
      <c r="K85" s="280"/>
      <c r="L85" s="280"/>
      <c r="M85" s="280"/>
      <c r="N85" s="280"/>
      <c r="O85" s="280"/>
      <c r="P85" s="280"/>
      <c r="Q85" s="280"/>
      <c r="R85" s="280"/>
      <c r="S85" s="280"/>
      <c r="T85" s="242"/>
      <c r="U85" s="242"/>
      <c r="V85" s="214"/>
      <c r="W85" s="262"/>
      <c r="X85" s="263"/>
      <c r="Y85" s="227"/>
      <c r="Z85" s="227"/>
      <c r="AA85" s="227"/>
      <c r="AB85" s="227"/>
      <c r="AC85" s="227"/>
      <c r="AD85" s="227"/>
      <c r="AE85" s="227"/>
      <c r="AF85" s="249"/>
      <c r="AG85" s="249"/>
      <c r="AH85" s="249"/>
      <c r="AI85" s="249"/>
      <c r="AJ85" s="249"/>
      <c r="AK85" s="249"/>
      <c r="AL85" s="249"/>
      <c r="AM85" s="249"/>
      <c r="AN85" s="249"/>
      <c r="AO85" s="249"/>
      <c r="AP85" s="249"/>
      <c r="AQ85" s="249"/>
      <c r="AR85" s="249"/>
      <c r="AS85" s="249"/>
      <c r="AT85" s="249"/>
      <c r="AU85" s="249"/>
      <c r="AV85" s="249"/>
      <c r="AW85" s="249"/>
      <c r="AX85" s="22"/>
      <c r="AY85" s="15"/>
      <c r="AZ85" s="15"/>
      <c r="BA85" s="15"/>
      <c r="BB85" s="16"/>
      <c r="BC85" s="15"/>
      <c r="BD85" s="15"/>
      <c r="BE85" s="16"/>
      <c r="BF85" s="15"/>
    </row>
    <row r="86" spans="1:58" ht="27" customHeight="1">
      <c r="A86" s="271"/>
      <c r="B86" s="285"/>
      <c r="C86" s="286"/>
      <c r="D86" s="262"/>
      <c r="E86" s="262"/>
      <c r="F86" s="262"/>
      <c r="G86" s="262"/>
      <c r="H86" s="244"/>
      <c r="I86" s="240"/>
      <c r="J86" s="280"/>
      <c r="K86" s="280"/>
      <c r="L86" s="280"/>
      <c r="M86" s="280"/>
      <c r="N86" s="280"/>
      <c r="O86" s="280"/>
      <c r="P86" s="280"/>
      <c r="Q86" s="280"/>
      <c r="R86" s="280"/>
      <c r="S86" s="280"/>
      <c r="T86" s="242"/>
      <c r="U86" s="242"/>
      <c r="V86" s="214"/>
      <c r="W86" s="261"/>
      <c r="X86" s="261"/>
      <c r="Y86" s="261"/>
      <c r="Z86" s="261"/>
      <c r="AA86" s="261"/>
      <c r="AB86" s="261"/>
      <c r="AC86" s="261"/>
      <c r="AD86" s="261"/>
      <c r="AE86" s="261"/>
      <c r="AF86" s="249"/>
      <c r="AG86" s="249"/>
      <c r="AH86" s="249"/>
      <c r="AI86" s="249"/>
      <c r="AJ86" s="249"/>
      <c r="AK86" s="249"/>
      <c r="AL86" s="249"/>
      <c r="AM86" s="249"/>
      <c r="AN86" s="249"/>
      <c r="AO86" s="249"/>
      <c r="AP86" s="249"/>
      <c r="AQ86" s="249"/>
      <c r="AR86" s="249"/>
      <c r="AS86" s="249"/>
      <c r="AT86" s="249"/>
      <c r="AU86" s="249"/>
      <c r="AV86" s="249"/>
      <c r="AW86" s="249"/>
      <c r="AX86" s="22"/>
      <c r="AY86" s="15"/>
      <c r="AZ86" s="15"/>
      <c r="BA86" s="15"/>
      <c r="BB86" s="16"/>
      <c r="BC86" s="15"/>
      <c r="BD86" s="15"/>
      <c r="BE86" s="16"/>
      <c r="BF86" s="15"/>
    </row>
    <row r="87" spans="1:58" ht="27" customHeight="1">
      <c r="A87" s="271"/>
      <c r="B87" s="285"/>
      <c r="C87" s="286"/>
      <c r="D87" s="262"/>
      <c r="E87" s="262"/>
      <c r="F87" s="262"/>
      <c r="G87" s="262"/>
      <c r="H87" s="244"/>
      <c r="I87" s="240"/>
      <c r="J87" s="280"/>
      <c r="K87" s="280"/>
      <c r="L87" s="280"/>
      <c r="M87" s="280"/>
      <c r="N87" s="280"/>
      <c r="O87" s="280"/>
      <c r="P87" s="280"/>
      <c r="Q87" s="280"/>
      <c r="R87" s="280"/>
      <c r="S87" s="280"/>
      <c r="T87" s="242"/>
      <c r="U87" s="242"/>
      <c r="V87" s="214"/>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2"/>
      <c r="AY87" s="15"/>
      <c r="AZ87" s="15"/>
      <c r="BA87" s="15"/>
      <c r="BD87" s="15"/>
      <c r="BE87" s="16"/>
      <c r="BF87" s="15"/>
    </row>
    <row r="88" spans="1:58" ht="27" customHeight="1">
      <c r="A88" s="271"/>
      <c r="B88" s="285"/>
      <c r="C88" s="286"/>
      <c r="D88" s="262"/>
      <c r="E88" s="262"/>
      <c r="F88" s="262"/>
      <c r="G88" s="262"/>
      <c r="H88" s="244"/>
      <c r="I88" s="240"/>
      <c r="J88" s="280"/>
      <c r="K88" s="280"/>
      <c r="L88" s="280"/>
      <c r="M88" s="280"/>
      <c r="N88" s="280"/>
      <c r="O88" s="280"/>
      <c r="P88" s="280"/>
      <c r="Q88" s="280"/>
      <c r="R88" s="280"/>
      <c r="S88" s="280"/>
      <c r="T88" s="242"/>
      <c r="U88" s="242"/>
      <c r="V88" s="214"/>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2"/>
      <c r="AY88" s="15"/>
      <c r="AZ88" s="15"/>
      <c r="BA88" s="15"/>
      <c r="BD88" s="15"/>
      <c r="BE88" s="16"/>
      <c r="BF88" s="15"/>
    </row>
    <row r="89" spans="1:58" ht="27" customHeight="1">
      <c r="A89" s="271"/>
      <c r="B89" s="285"/>
      <c r="C89" s="286"/>
      <c r="D89" s="274"/>
      <c r="E89" s="274"/>
      <c r="F89" s="262"/>
      <c r="G89" s="262"/>
      <c r="H89" s="244"/>
      <c r="I89" s="240"/>
      <c r="J89" s="280"/>
      <c r="K89" s="280"/>
      <c r="L89" s="280"/>
      <c r="M89" s="280"/>
      <c r="N89" s="280"/>
      <c r="O89" s="280"/>
      <c r="P89" s="280"/>
      <c r="Q89" s="280"/>
      <c r="R89" s="280"/>
      <c r="S89" s="280"/>
      <c r="T89" s="242"/>
      <c r="U89" s="242"/>
      <c r="V89" s="214"/>
      <c r="W89" s="287"/>
      <c r="X89" s="262"/>
      <c r="Y89" s="288"/>
      <c r="Z89" s="262"/>
      <c r="AA89" s="262"/>
      <c r="AB89" s="262"/>
      <c r="AC89" s="289"/>
      <c r="AD89" s="262"/>
      <c r="AE89" s="262"/>
      <c r="AF89" s="288"/>
      <c r="AG89" s="262"/>
      <c r="AH89" s="262"/>
      <c r="AI89" s="262"/>
      <c r="AJ89" s="262"/>
      <c r="AK89" s="288"/>
      <c r="AL89" s="262"/>
      <c r="AM89" s="262"/>
      <c r="AN89" s="288"/>
      <c r="AO89" s="262"/>
      <c r="AP89" s="262"/>
      <c r="AQ89" s="288"/>
      <c r="AR89" s="288"/>
      <c r="AS89" s="288"/>
      <c r="AT89" s="288"/>
      <c r="AU89" s="288"/>
      <c r="AV89" s="288"/>
      <c r="AW89" s="216"/>
      <c r="AX89" s="22"/>
      <c r="AY89" s="15"/>
      <c r="AZ89" s="15"/>
      <c r="BA89" s="15"/>
      <c r="BD89" s="15"/>
      <c r="BE89" s="16"/>
      <c r="BF89" s="15"/>
    </row>
    <row r="90" spans="1:58" ht="27" customHeight="1">
      <c r="A90" s="271"/>
      <c r="B90" s="285"/>
      <c r="C90" s="286"/>
      <c r="D90" s="274"/>
      <c r="E90" s="274"/>
      <c r="F90" s="262"/>
      <c r="G90" s="262"/>
      <c r="H90" s="244"/>
      <c r="I90" s="240"/>
      <c r="J90" s="280"/>
      <c r="K90" s="280"/>
      <c r="L90" s="280"/>
      <c r="M90" s="280"/>
      <c r="N90" s="280"/>
      <c r="O90" s="280"/>
      <c r="P90" s="280"/>
      <c r="Q90" s="280"/>
      <c r="R90" s="280"/>
      <c r="S90" s="280"/>
      <c r="T90" s="242"/>
      <c r="U90" s="242"/>
      <c r="V90" s="214"/>
      <c r="W90" s="262"/>
      <c r="X90" s="262"/>
      <c r="Y90" s="260"/>
      <c r="Z90" s="262"/>
      <c r="AA90" s="262"/>
      <c r="AB90" s="262"/>
      <c r="AC90" s="250"/>
      <c r="AD90" s="222"/>
      <c r="AE90" s="250"/>
      <c r="AF90" s="250"/>
      <c r="AG90" s="222"/>
      <c r="AH90" s="250"/>
      <c r="AI90" s="250"/>
      <c r="AJ90" s="250"/>
      <c r="AK90" s="250"/>
      <c r="AL90" s="222"/>
      <c r="AM90" s="250"/>
      <c r="AN90" s="250"/>
      <c r="AO90" s="222"/>
      <c r="AP90" s="239"/>
      <c r="AQ90" s="290"/>
      <c r="AR90" s="290"/>
      <c r="AS90" s="222"/>
      <c r="AT90" s="290"/>
      <c r="AU90" s="290"/>
      <c r="AV90" s="222"/>
      <c r="AW90" s="214"/>
      <c r="AX90" s="22"/>
      <c r="AY90" s="15"/>
      <c r="AZ90" s="15"/>
      <c r="BA90" s="15"/>
      <c r="BD90" s="15"/>
      <c r="BE90" s="16"/>
      <c r="BF90" s="15"/>
    </row>
    <row r="91" spans="1:58" ht="27" customHeight="1">
      <c r="A91" s="271"/>
      <c r="B91" s="285"/>
      <c r="C91" s="286"/>
      <c r="D91" s="262"/>
      <c r="E91" s="262"/>
      <c r="F91" s="262"/>
      <c r="G91" s="262"/>
      <c r="H91" s="243"/>
      <c r="I91" s="240"/>
      <c r="J91" s="280"/>
      <c r="K91" s="280"/>
      <c r="L91" s="280"/>
      <c r="M91" s="280"/>
      <c r="N91" s="280"/>
      <c r="O91" s="280"/>
      <c r="P91" s="280"/>
      <c r="Q91" s="280"/>
      <c r="R91" s="280"/>
      <c r="S91" s="280"/>
      <c r="T91" s="242"/>
      <c r="U91" s="242"/>
      <c r="V91" s="214"/>
      <c r="W91" s="262"/>
      <c r="X91" s="262"/>
      <c r="Y91" s="260"/>
      <c r="Z91" s="262"/>
      <c r="AA91" s="262"/>
      <c r="AB91" s="262"/>
      <c r="AC91" s="250"/>
      <c r="AD91" s="222"/>
      <c r="AE91" s="250"/>
      <c r="AF91" s="250"/>
      <c r="AG91" s="222"/>
      <c r="AH91" s="250"/>
      <c r="AI91" s="250"/>
      <c r="AJ91" s="250"/>
      <c r="AK91" s="250"/>
      <c r="AL91" s="222"/>
      <c r="AM91" s="250"/>
      <c r="AN91" s="250"/>
      <c r="AO91" s="222"/>
      <c r="AP91" s="239"/>
      <c r="AQ91" s="290"/>
      <c r="AR91" s="290"/>
      <c r="AS91" s="222"/>
      <c r="AT91" s="290"/>
      <c r="AU91" s="290"/>
      <c r="AV91" s="222"/>
      <c r="AW91" s="214"/>
      <c r="AX91" s="22"/>
      <c r="AY91" s="15"/>
      <c r="AZ91" s="15"/>
      <c r="BA91" s="15"/>
      <c r="BD91" s="15"/>
      <c r="BE91" s="16"/>
      <c r="BF91" s="15"/>
    </row>
    <row r="92" spans="1:58" ht="27" customHeight="1">
      <c r="A92" s="271"/>
      <c r="B92" s="285"/>
      <c r="C92" s="286"/>
      <c r="D92" s="262"/>
      <c r="E92" s="262"/>
      <c r="F92" s="262"/>
      <c r="G92" s="262"/>
      <c r="H92" s="244"/>
      <c r="I92" s="240"/>
      <c r="J92" s="280"/>
      <c r="K92" s="280"/>
      <c r="L92" s="280"/>
      <c r="M92" s="280"/>
      <c r="N92" s="280"/>
      <c r="O92" s="280"/>
      <c r="P92" s="280"/>
      <c r="Q92" s="280"/>
      <c r="R92" s="280"/>
      <c r="S92" s="280"/>
      <c r="T92" s="242"/>
      <c r="U92" s="242"/>
      <c r="V92" s="214"/>
      <c r="W92" s="262"/>
      <c r="X92" s="262"/>
      <c r="Y92" s="260"/>
      <c r="Z92" s="262"/>
      <c r="AA92" s="262"/>
      <c r="AB92" s="262"/>
      <c r="AC92" s="250"/>
      <c r="AD92" s="222"/>
      <c r="AE92" s="250"/>
      <c r="AF92" s="250"/>
      <c r="AG92" s="222"/>
      <c r="AH92" s="250"/>
      <c r="AI92" s="250"/>
      <c r="AJ92" s="250"/>
      <c r="AK92" s="250"/>
      <c r="AL92" s="222"/>
      <c r="AM92" s="250"/>
      <c r="AN92" s="250"/>
      <c r="AO92" s="222"/>
      <c r="AP92" s="239"/>
      <c r="AQ92" s="290"/>
      <c r="AR92" s="290"/>
      <c r="AS92" s="222"/>
      <c r="AT92" s="290"/>
      <c r="AU92" s="290"/>
      <c r="AV92" s="222"/>
      <c r="AW92" s="214"/>
      <c r="AX92" s="22"/>
      <c r="AY92" s="15"/>
      <c r="AZ92" s="15"/>
      <c r="BA92" s="15"/>
      <c r="BD92" s="15"/>
      <c r="BE92" s="16"/>
      <c r="BF92" s="15"/>
    </row>
    <row r="93" spans="1:58" ht="27" customHeight="1">
      <c r="A93" s="271"/>
      <c r="B93" s="285"/>
      <c r="C93" s="283"/>
      <c r="D93" s="283"/>
      <c r="E93" s="283"/>
      <c r="F93" s="283"/>
      <c r="G93" s="283"/>
      <c r="H93" s="283"/>
      <c r="I93" s="283"/>
      <c r="J93" s="242"/>
      <c r="K93" s="242"/>
      <c r="L93" s="242"/>
      <c r="M93" s="242"/>
      <c r="N93" s="242"/>
      <c r="O93" s="242"/>
      <c r="P93" s="242"/>
      <c r="Q93" s="242"/>
      <c r="R93" s="242"/>
      <c r="S93" s="242"/>
      <c r="T93" s="242"/>
      <c r="U93" s="242"/>
      <c r="V93" s="217"/>
      <c r="W93" s="262"/>
      <c r="X93" s="262"/>
      <c r="Y93" s="260"/>
      <c r="Z93" s="262"/>
      <c r="AA93" s="262"/>
      <c r="AB93" s="262"/>
      <c r="AC93" s="250"/>
      <c r="AD93" s="222"/>
      <c r="AE93" s="250"/>
      <c r="AF93" s="250"/>
      <c r="AG93" s="222"/>
      <c r="AH93" s="250"/>
      <c r="AI93" s="250"/>
      <c r="AJ93" s="250"/>
      <c r="AK93" s="250"/>
      <c r="AL93" s="222"/>
      <c r="AM93" s="250"/>
      <c r="AN93" s="250"/>
      <c r="AO93" s="222"/>
      <c r="AP93" s="239"/>
      <c r="AQ93" s="290"/>
      <c r="AR93" s="290"/>
      <c r="AS93" s="222"/>
      <c r="AT93" s="290"/>
      <c r="AU93" s="290"/>
      <c r="AV93" s="222"/>
      <c r="AW93" s="214"/>
      <c r="AX93" s="22"/>
      <c r="AY93" s="15"/>
      <c r="AZ93" s="15"/>
      <c r="BA93" s="15"/>
      <c r="BD93" s="15"/>
      <c r="BE93" s="16"/>
      <c r="BF93" s="15"/>
    </row>
    <row r="94" spans="1:58" ht="27" customHeight="1">
      <c r="A94" s="218"/>
      <c r="B94" s="218"/>
      <c r="C94" s="218"/>
      <c r="D94" s="218"/>
      <c r="E94" s="218"/>
      <c r="F94" s="218"/>
      <c r="G94" s="218"/>
      <c r="H94" s="218"/>
      <c r="I94" s="218"/>
      <c r="J94" s="218"/>
      <c r="K94" s="218"/>
      <c r="L94" s="218"/>
      <c r="M94" s="218"/>
      <c r="N94" s="218"/>
      <c r="O94" s="218"/>
      <c r="P94" s="218"/>
      <c r="Q94" s="218"/>
      <c r="R94" s="218"/>
      <c r="S94" s="218"/>
      <c r="T94" s="218"/>
      <c r="U94" s="218"/>
      <c r="V94" s="218"/>
      <c r="W94" s="262"/>
      <c r="X94" s="262"/>
      <c r="Y94" s="260"/>
      <c r="Z94" s="262"/>
      <c r="AA94" s="262"/>
      <c r="AB94" s="262"/>
      <c r="AC94" s="250"/>
      <c r="AD94" s="222"/>
      <c r="AE94" s="250"/>
      <c r="AF94" s="250"/>
      <c r="AG94" s="222"/>
      <c r="AH94" s="250"/>
      <c r="AI94" s="250"/>
      <c r="AJ94" s="250"/>
      <c r="AK94" s="250"/>
      <c r="AL94" s="222"/>
      <c r="AM94" s="250"/>
      <c r="AN94" s="250"/>
      <c r="AO94" s="222"/>
      <c r="AP94" s="239"/>
      <c r="AQ94" s="290"/>
      <c r="AR94" s="290"/>
      <c r="AS94" s="222"/>
      <c r="AT94" s="290"/>
      <c r="AU94" s="290"/>
      <c r="AV94" s="222"/>
      <c r="AW94" s="214"/>
      <c r="AX94" s="22"/>
      <c r="AY94" s="15"/>
      <c r="AZ94" s="15"/>
      <c r="BA94" s="15"/>
      <c r="BD94" s="15"/>
      <c r="BE94" s="16"/>
      <c r="BF94" s="15"/>
    </row>
  </sheetData>
  <sheetProtection algorithmName="SHA-512" hashValue="cI5ROov+qzxuZTvgVnteQt6FQQC5K3VUeESWYgQtMPstrFZlHYZsoDWmxdbVDx9tRG5WpS/Q273e7ZxJydWp1A==" saltValue="rwx5OZ6mXRq2UO2j/v8MYQ==" spinCount="100000" sheet="1" selectLockedCells="1"/>
  <mergeCells count="821">
    <mergeCell ref="BA45:BD45"/>
    <mergeCell ref="AX21:AX46"/>
    <mergeCell ref="D37:G37"/>
    <mergeCell ref="D45:G45"/>
    <mergeCell ref="J30:K30"/>
    <mergeCell ref="T26:U26"/>
    <mergeCell ref="T29:U29"/>
    <mergeCell ref="AX1:BJ2"/>
    <mergeCell ref="BK1:BL2"/>
    <mergeCell ref="J37:K37"/>
    <mergeCell ref="D35:G35"/>
    <mergeCell ref="J35:K35"/>
    <mergeCell ref="D33:G33"/>
    <mergeCell ref="T45:U45"/>
    <mergeCell ref="T35:U35"/>
    <mergeCell ref="T31:U31"/>
    <mergeCell ref="T39:U39"/>
    <mergeCell ref="P40:Q40"/>
    <mergeCell ref="D42:G42"/>
    <mergeCell ref="J33:K33"/>
    <mergeCell ref="J45:K45"/>
    <mergeCell ref="D44:G44"/>
    <mergeCell ref="J44:K44"/>
    <mergeCell ref="P32:Q32"/>
    <mergeCell ref="BM1:BR2"/>
    <mergeCell ref="BT1:CT2"/>
    <mergeCell ref="BO10:BQ10"/>
    <mergeCell ref="BO11:BQ11"/>
    <mergeCell ref="BO12:BQ12"/>
    <mergeCell ref="BO13:BQ13"/>
    <mergeCell ref="BO14:BQ14"/>
    <mergeCell ref="C27:G27"/>
    <mergeCell ref="C29:H29"/>
    <mergeCell ref="T28:U28"/>
    <mergeCell ref="C28:G28"/>
    <mergeCell ref="R28:S28"/>
    <mergeCell ref="J29:K29"/>
    <mergeCell ref="CT25:CT26"/>
    <mergeCell ref="CT27:CT28"/>
    <mergeCell ref="CT29:CT30"/>
    <mergeCell ref="CR25:CR26"/>
    <mergeCell ref="CR29:CR30"/>
    <mergeCell ref="CR27:CR28"/>
    <mergeCell ref="CS25:CS26"/>
    <mergeCell ref="CS27:CS28"/>
    <mergeCell ref="CS29:CS30"/>
    <mergeCell ref="CF11:CH11"/>
    <mergeCell ref="CI11:CK11"/>
    <mergeCell ref="CT31:CT32"/>
    <mergeCell ref="CC33:CE33"/>
    <mergeCell ref="CF33:CH33"/>
    <mergeCell ref="CI33:CK33"/>
    <mergeCell ref="CL33:CN33"/>
    <mergeCell ref="CO33:CQ33"/>
    <mergeCell ref="CC34:CE34"/>
    <mergeCell ref="CF34:CH34"/>
    <mergeCell ref="CI34:CK34"/>
    <mergeCell ref="CL34:CN34"/>
    <mergeCell ref="CO34:CQ34"/>
    <mergeCell ref="CR31:CR32"/>
    <mergeCell ref="CS31:CS32"/>
    <mergeCell ref="CO31:CQ32"/>
    <mergeCell ref="CL31:CN32"/>
    <mergeCell ref="BX9:BZ9"/>
    <mergeCell ref="CC9:CE9"/>
    <mergeCell ref="BX10:BZ10"/>
    <mergeCell ref="CC10:CE10"/>
    <mergeCell ref="CA27:CA28"/>
    <mergeCell ref="CA25:CA26"/>
    <mergeCell ref="CC24:CE24"/>
    <mergeCell ref="CC17:CE17"/>
    <mergeCell ref="BX7:BZ7"/>
    <mergeCell ref="CC7:CE7"/>
    <mergeCell ref="W1:AW2"/>
    <mergeCell ref="CU1:CY1"/>
    <mergeCell ref="CU2:CV2"/>
    <mergeCell ref="A3:D3"/>
    <mergeCell ref="E3:M3"/>
    <mergeCell ref="N3:P3"/>
    <mergeCell ref="Q3:U3"/>
    <mergeCell ref="AI3:AK3"/>
    <mergeCell ref="AL3:AN3"/>
    <mergeCell ref="A1:M2"/>
    <mergeCell ref="N1:O2"/>
    <mergeCell ref="AX3:BA3"/>
    <mergeCell ref="BB3:BJ3"/>
    <mergeCell ref="BK3:BM3"/>
    <mergeCell ref="BN3:BR3"/>
    <mergeCell ref="AR3:AT3"/>
    <mergeCell ref="AO3:AQ3"/>
    <mergeCell ref="P1:U2"/>
    <mergeCell ref="BU3:BZ3"/>
    <mergeCell ref="CB3:CB4"/>
    <mergeCell ref="CC3:CE3"/>
    <mergeCell ref="AO4:AQ4"/>
    <mergeCell ref="A4:D4"/>
    <mergeCell ref="AA4:AC4"/>
    <mergeCell ref="AF4:AH4"/>
    <mergeCell ref="Y35:AE35"/>
    <mergeCell ref="X3:AC3"/>
    <mergeCell ref="AE3:AE4"/>
    <mergeCell ref="AF3:AH3"/>
    <mergeCell ref="AI4:AK4"/>
    <mergeCell ref="AI5:AK5"/>
    <mergeCell ref="AA5:AC5"/>
    <mergeCell ref="AF5:AH5"/>
    <mergeCell ref="AA8:AC8"/>
    <mergeCell ref="AF8:AH8"/>
    <mergeCell ref="AI8:AK8"/>
    <mergeCell ref="AF13:AH13"/>
    <mergeCell ref="AA16:AC16"/>
    <mergeCell ref="AF16:AH16"/>
    <mergeCell ref="AI15:AK15"/>
    <mergeCell ref="AI16:AK16"/>
    <mergeCell ref="AF14:AH14"/>
    <mergeCell ref="Y30:AC30"/>
    <mergeCell ref="Y31:AC31"/>
    <mergeCell ref="AD27:AD28"/>
    <mergeCell ref="AF27:AH28"/>
    <mergeCell ref="AA6:AC6"/>
    <mergeCell ref="AF6:AH6"/>
    <mergeCell ref="T10:U10"/>
    <mergeCell ref="T11:U11"/>
    <mergeCell ref="T12:U12"/>
    <mergeCell ref="T13:U13"/>
    <mergeCell ref="T14:U14"/>
    <mergeCell ref="T15:U15"/>
    <mergeCell ref="G13:O13"/>
    <mergeCell ref="G14:O14"/>
    <mergeCell ref="G15:O15"/>
    <mergeCell ref="C16:F16"/>
    <mergeCell ref="A10:B16"/>
    <mergeCell ref="C10:F10"/>
    <mergeCell ref="P9:Q9"/>
    <mergeCell ref="P10:Q10"/>
    <mergeCell ref="P11:Q11"/>
    <mergeCell ref="P12:Q12"/>
    <mergeCell ref="P13:Q13"/>
    <mergeCell ref="P14:Q14"/>
    <mergeCell ref="P15:Q15"/>
    <mergeCell ref="P16:Q16"/>
    <mergeCell ref="G16:O16"/>
    <mergeCell ref="CU10:CV10"/>
    <mergeCell ref="AA11:AC11"/>
    <mergeCell ref="AF11:AH11"/>
    <mergeCell ref="AA10:AC10"/>
    <mergeCell ref="AF10:AH10"/>
    <mergeCell ref="AI11:AK11"/>
    <mergeCell ref="AL9:AN9"/>
    <mergeCell ref="AL10:AN10"/>
    <mergeCell ref="CI10:CK10"/>
    <mergeCell ref="CL10:CN10"/>
    <mergeCell ref="CO10:CQ10"/>
    <mergeCell ref="CF9:CH9"/>
    <mergeCell ref="CI9:CK9"/>
    <mergeCell ref="CL9:CN9"/>
    <mergeCell ref="CO9:CQ9"/>
    <mergeCell ref="CF10:CH10"/>
    <mergeCell ref="CL11:CN11"/>
    <mergeCell ref="CO11:CQ11"/>
    <mergeCell ref="AA9:AC9"/>
    <mergeCell ref="AF9:AH9"/>
    <mergeCell ref="AI9:AK9"/>
    <mergeCell ref="AI10:AK10"/>
    <mergeCell ref="AX9:BN9"/>
    <mergeCell ref="BX11:BZ11"/>
    <mergeCell ref="CO3:CQ3"/>
    <mergeCell ref="AI12:AK12"/>
    <mergeCell ref="C12:F12"/>
    <mergeCell ref="AL11:AN11"/>
    <mergeCell ref="AA12:AC12"/>
    <mergeCell ref="AF12:AH12"/>
    <mergeCell ref="AL4:AN4"/>
    <mergeCell ref="AL5:AN5"/>
    <mergeCell ref="AO12:AQ12"/>
    <mergeCell ref="C11:F11"/>
    <mergeCell ref="BX6:BZ6"/>
    <mergeCell ref="CC6:CE6"/>
    <mergeCell ref="CF6:CH6"/>
    <mergeCell ref="AX5:BR8"/>
    <mergeCell ref="BP9:BQ9"/>
    <mergeCell ref="AX10:AY16"/>
    <mergeCell ref="AZ10:BC10"/>
    <mergeCell ref="AA7:AC7"/>
    <mergeCell ref="AF7:AH7"/>
    <mergeCell ref="AI7:AK7"/>
    <mergeCell ref="AL7:AN7"/>
    <mergeCell ref="E4:F4"/>
    <mergeCell ref="A5:U8"/>
    <mergeCell ref="C15:F15"/>
    <mergeCell ref="AI6:AK6"/>
    <mergeCell ref="AI14:AK14"/>
    <mergeCell ref="AA15:AC15"/>
    <mergeCell ref="AF15:AH15"/>
    <mergeCell ref="AA14:AC14"/>
    <mergeCell ref="T16:U16"/>
    <mergeCell ref="A9:O9"/>
    <mergeCell ref="R9:U9"/>
    <mergeCell ref="R10:S10"/>
    <mergeCell ref="R11:S11"/>
    <mergeCell ref="R12:S12"/>
    <mergeCell ref="R13:S13"/>
    <mergeCell ref="R14:S14"/>
    <mergeCell ref="R15:S15"/>
    <mergeCell ref="R16:S16"/>
    <mergeCell ref="G10:O10"/>
    <mergeCell ref="G11:O11"/>
    <mergeCell ref="G12:O12"/>
    <mergeCell ref="C13:F13"/>
    <mergeCell ref="C14:F14"/>
    <mergeCell ref="W3:W35"/>
    <mergeCell ref="P33:Q33"/>
    <mergeCell ref="R33:S33"/>
    <mergeCell ref="T33:U33"/>
    <mergeCell ref="AI13:AK13"/>
    <mergeCell ref="AA20:AC20"/>
    <mergeCell ref="AF20:AH20"/>
    <mergeCell ref="AI21:AK21"/>
    <mergeCell ref="AI20:AK20"/>
    <mergeCell ref="AL18:AN18"/>
    <mergeCell ref="AL19:AN19"/>
    <mergeCell ref="AL20:AN20"/>
    <mergeCell ref="AL14:AN14"/>
    <mergeCell ref="AA13:AC13"/>
    <mergeCell ref="AL21:AN21"/>
    <mergeCell ref="Y21:AE21"/>
    <mergeCell ref="AF21:AH21"/>
    <mergeCell ref="Y28:AC28"/>
    <mergeCell ref="AO18:AQ18"/>
    <mergeCell ref="B23:B29"/>
    <mergeCell ref="P21:Q21"/>
    <mergeCell ref="R21:S21"/>
    <mergeCell ref="T21:U21"/>
    <mergeCell ref="AA18:AC18"/>
    <mergeCell ref="AA19:AC19"/>
    <mergeCell ref="AF19:AH19"/>
    <mergeCell ref="A17:U20"/>
    <mergeCell ref="AI18:AK18"/>
    <mergeCell ref="AI19:AK19"/>
    <mergeCell ref="AF18:AH18"/>
    <mergeCell ref="AA17:AC17"/>
    <mergeCell ref="AF17:AH17"/>
    <mergeCell ref="AI17:AK17"/>
    <mergeCell ref="AL22:AN22"/>
    <mergeCell ref="AF22:AH22"/>
    <mergeCell ref="C23:G23"/>
    <mergeCell ref="J23:K23"/>
    <mergeCell ref="B21:G22"/>
    <mergeCell ref="I21:I22"/>
    <mergeCell ref="J21:K21"/>
    <mergeCell ref="R23:S23"/>
    <mergeCell ref="AI22:AK22"/>
    <mergeCell ref="J22:K22"/>
    <mergeCell ref="P22:Q22"/>
    <mergeCell ref="R22:S22"/>
    <mergeCell ref="T22:U22"/>
    <mergeCell ref="AF23:AH23"/>
    <mergeCell ref="Y22:AC22"/>
    <mergeCell ref="X4:X21"/>
    <mergeCell ref="X22:X35"/>
    <mergeCell ref="J28:K28"/>
    <mergeCell ref="P28:Q28"/>
    <mergeCell ref="Y25:AC25"/>
    <mergeCell ref="T27:U27"/>
    <mergeCell ref="Y24:AC24"/>
    <mergeCell ref="J26:K26"/>
    <mergeCell ref="P26:Q26"/>
    <mergeCell ref="R26:S26"/>
    <mergeCell ref="J27:K27"/>
    <mergeCell ref="P27:Q27"/>
    <mergeCell ref="R27:S27"/>
    <mergeCell ref="Y27:AC27"/>
    <mergeCell ref="Y26:AC26"/>
    <mergeCell ref="R30:S30"/>
    <mergeCell ref="R31:S31"/>
    <mergeCell ref="T25:U25"/>
    <mergeCell ref="Y23:AC23"/>
    <mergeCell ref="AI24:AK24"/>
    <mergeCell ref="AL23:AN23"/>
    <mergeCell ref="AL24:AN24"/>
    <mergeCell ref="AI23:AK23"/>
    <mergeCell ref="C24:G24"/>
    <mergeCell ref="J24:K24"/>
    <mergeCell ref="P24:Q24"/>
    <mergeCell ref="R24:S24"/>
    <mergeCell ref="P23:Q23"/>
    <mergeCell ref="AF24:AH24"/>
    <mergeCell ref="AF25:AH26"/>
    <mergeCell ref="T24:U24"/>
    <mergeCell ref="AI25:AK26"/>
    <mergeCell ref="AE25:AE26"/>
    <mergeCell ref="AD25:AD26"/>
    <mergeCell ref="AL25:AN26"/>
    <mergeCell ref="C26:G26"/>
    <mergeCell ref="T23:U23"/>
    <mergeCell ref="J46:K46"/>
    <mergeCell ref="P46:Q46"/>
    <mergeCell ref="D36:G36"/>
    <mergeCell ref="J36:K36"/>
    <mergeCell ref="P31:Q31"/>
    <mergeCell ref="C25:G25"/>
    <mergeCell ref="J25:K25"/>
    <mergeCell ref="P25:Q25"/>
    <mergeCell ref="R25:S25"/>
    <mergeCell ref="R32:S32"/>
    <mergeCell ref="J43:K43"/>
    <mergeCell ref="R36:S36"/>
    <mergeCell ref="P35:Q35"/>
    <mergeCell ref="J31:K31"/>
    <mergeCell ref="T44:U44"/>
    <mergeCell ref="P34:Q34"/>
    <mergeCell ref="R34:S34"/>
    <mergeCell ref="R35:S35"/>
    <mergeCell ref="J41:K41"/>
    <mergeCell ref="C38:C45"/>
    <mergeCell ref="D38:G38"/>
    <mergeCell ref="D40:G40"/>
    <mergeCell ref="J40:K40"/>
    <mergeCell ref="D39:G39"/>
    <mergeCell ref="J39:K39"/>
    <mergeCell ref="P39:Q39"/>
    <mergeCell ref="R39:S39"/>
    <mergeCell ref="J42:K42"/>
    <mergeCell ref="P42:Q42"/>
    <mergeCell ref="R45:S45"/>
    <mergeCell ref="T32:U32"/>
    <mergeCell ref="T36:U36"/>
    <mergeCell ref="A47:U47"/>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A21:A46"/>
    <mergeCell ref="P36:Q36"/>
    <mergeCell ref="P37:Q37"/>
    <mergeCell ref="P45:Q45"/>
    <mergeCell ref="P44:Q44"/>
    <mergeCell ref="P43:Q43"/>
    <mergeCell ref="C46:H46"/>
    <mergeCell ref="D31:G31"/>
    <mergeCell ref="AO39:AQ39"/>
    <mergeCell ref="X38:AE38"/>
    <mergeCell ref="AL36:AN36"/>
    <mergeCell ref="AI35:AK35"/>
    <mergeCell ref="Y34:AC34"/>
    <mergeCell ref="AI34:AK34"/>
    <mergeCell ref="AI37:AK37"/>
    <mergeCell ref="X37:AE37"/>
    <mergeCell ref="AF39:AH39"/>
    <mergeCell ref="AI39:AK39"/>
    <mergeCell ref="AL39:AN39"/>
    <mergeCell ref="AL37:AN37"/>
    <mergeCell ref="AL34:AN34"/>
    <mergeCell ref="R46:S46"/>
    <mergeCell ref="AF38:AH38"/>
    <mergeCell ref="R37:S37"/>
    <mergeCell ref="T37:U37"/>
    <mergeCell ref="T46:U46"/>
    <mergeCell ref="AF37:AH37"/>
    <mergeCell ref="R44:S44"/>
    <mergeCell ref="R43:S43"/>
    <mergeCell ref="T43:U43"/>
    <mergeCell ref="R40:S40"/>
    <mergeCell ref="T40:U40"/>
    <mergeCell ref="R42:S42"/>
    <mergeCell ref="T42:U42"/>
    <mergeCell ref="W36:W37"/>
    <mergeCell ref="P30:Q30"/>
    <mergeCell ref="W38:W39"/>
    <mergeCell ref="X39:AE39"/>
    <mergeCell ref="AI38:AK38"/>
    <mergeCell ref="AF36:AH36"/>
    <mergeCell ref="AI36:AK36"/>
    <mergeCell ref="R38:S38"/>
    <mergeCell ref="T38:U38"/>
    <mergeCell ref="T34:U34"/>
    <mergeCell ref="X36:AE36"/>
    <mergeCell ref="Y33:AC33"/>
    <mergeCell ref="AL35:AN35"/>
    <mergeCell ref="AL27:AN28"/>
    <mergeCell ref="AL29:AN30"/>
    <mergeCell ref="AO24:AQ24"/>
    <mergeCell ref="P29:Q29"/>
    <mergeCell ref="R29:S29"/>
    <mergeCell ref="AD31:AD32"/>
    <mergeCell ref="AF35:AH35"/>
    <mergeCell ref="Y32:AC32"/>
    <mergeCell ref="AE31:AE32"/>
    <mergeCell ref="AF33:AH33"/>
    <mergeCell ref="AD29:AD30"/>
    <mergeCell ref="AE27:AE28"/>
    <mergeCell ref="AI33:AK33"/>
    <mergeCell ref="AF29:AH30"/>
    <mergeCell ref="AE29:AE30"/>
    <mergeCell ref="AF31:AH32"/>
    <mergeCell ref="AI27:AK28"/>
    <mergeCell ref="AI29:AK30"/>
    <mergeCell ref="AL33:AN33"/>
    <mergeCell ref="AL31:AN32"/>
    <mergeCell ref="AF34:AH34"/>
    <mergeCell ref="AI31:AK32"/>
    <mergeCell ref="Y29:AC29"/>
    <mergeCell ref="AL15:AN15"/>
    <mergeCell ref="AL12:AN12"/>
    <mergeCell ref="AL13:AN13"/>
    <mergeCell ref="AO21:AQ21"/>
    <mergeCell ref="AL16:AN16"/>
    <mergeCell ref="AL17:AN17"/>
    <mergeCell ref="AR38:AT38"/>
    <mergeCell ref="AR37:AT37"/>
    <mergeCell ref="AL38:AN38"/>
    <mergeCell ref="AO38:AQ38"/>
    <mergeCell ref="AO37:AQ37"/>
    <mergeCell ref="AO19:AQ19"/>
    <mergeCell ref="AO20:AQ20"/>
    <mergeCell ref="AO29:AQ30"/>
    <mergeCell ref="AO31:AQ32"/>
    <mergeCell ref="AR31:AT32"/>
    <mergeCell ref="AR16:AT16"/>
    <mergeCell ref="AO36:AQ36"/>
    <mergeCell ref="AO33:AQ33"/>
    <mergeCell ref="AO34:AQ34"/>
    <mergeCell ref="AO35:AQ35"/>
    <mergeCell ref="AR33:AT33"/>
    <mergeCell ref="AR34:AT34"/>
    <mergeCell ref="AR35:AT35"/>
    <mergeCell ref="AL8:AN8"/>
    <mergeCell ref="AO8:AQ8"/>
    <mergeCell ref="AO5:AQ5"/>
    <mergeCell ref="AO9:AQ9"/>
    <mergeCell ref="AO10:AQ10"/>
    <mergeCell ref="AO11:AQ11"/>
    <mergeCell ref="AO6:AQ6"/>
    <mergeCell ref="AO7:AQ7"/>
    <mergeCell ref="AL6:AN6"/>
    <mergeCell ref="AW29:AW30"/>
    <mergeCell ref="AW31:AW32"/>
    <mergeCell ref="AX4:BA4"/>
    <mergeCell ref="BB4:BC4"/>
    <mergeCell ref="BA31:BD31"/>
    <mergeCell ref="AR8:AT8"/>
    <mergeCell ref="AR9:AT9"/>
    <mergeCell ref="AR10:AT10"/>
    <mergeCell ref="AR11:AT11"/>
    <mergeCell ref="AR12:AT12"/>
    <mergeCell ref="AR13:AT13"/>
    <mergeCell ref="AR21:AT21"/>
    <mergeCell ref="AR22:AT22"/>
    <mergeCell ref="AR17:AT17"/>
    <mergeCell ref="AR18:AT18"/>
    <mergeCell ref="AR19:AT19"/>
    <mergeCell ref="AR20:AT20"/>
    <mergeCell ref="AR14:AT14"/>
    <mergeCell ref="AR15:AT15"/>
    <mergeCell ref="AX17:BR20"/>
    <mergeCell ref="AZ16:BC16"/>
    <mergeCell ref="BD16:BN16"/>
    <mergeCell ref="BD11:BN11"/>
    <mergeCell ref="BM21:BN21"/>
    <mergeCell ref="AZ11:BC11"/>
    <mergeCell ref="BG27:BH27"/>
    <mergeCell ref="BM27:BN27"/>
    <mergeCell ref="BO27:BP27"/>
    <mergeCell ref="BQ27:BR27"/>
    <mergeCell ref="AZ26:BD26"/>
    <mergeCell ref="BG26:BH26"/>
    <mergeCell ref="AZ13:BC13"/>
    <mergeCell ref="AO22:AQ22"/>
    <mergeCell ref="AO25:AQ26"/>
    <mergeCell ref="AO27:AQ28"/>
    <mergeCell ref="AW25:AW26"/>
    <mergeCell ref="AW27:AW28"/>
    <mergeCell ref="AO23:AQ23"/>
    <mergeCell ref="AZ28:BD28"/>
    <mergeCell ref="BG28:BH28"/>
    <mergeCell ref="BM28:BN28"/>
    <mergeCell ref="BM22:BN22"/>
    <mergeCell ref="AO13:AQ13"/>
    <mergeCell ref="AO14:AQ14"/>
    <mergeCell ref="AO15:AQ15"/>
    <mergeCell ref="AO16:AQ16"/>
    <mergeCell ref="AO17:AQ17"/>
    <mergeCell ref="BF21:BF22"/>
    <mergeCell ref="BG21:BH21"/>
    <mergeCell ref="BO21:BP21"/>
    <mergeCell ref="BQ21:BR21"/>
    <mergeCell ref="BM26:BN26"/>
    <mergeCell ref="BO26:BP26"/>
    <mergeCell ref="BQ26:BR26"/>
    <mergeCell ref="AZ12:BC12"/>
    <mergeCell ref="BD12:BN12"/>
    <mergeCell ref="CO4:CQ4"/>
    <mergeCell ref="BX8:BZ8"/>
    <mergeCell ref="CL8:CN8"/>
    <mergeCell ref="CO8:CQ8"/>
    <mergeCell ref="BO28:BP28"/>
    <mergeCell ref="BQ28:BR28"/>
    <mergeCell ref="BV27:BZ27"/>
    <mergeCell ref="BV28:BZ28"/>
    <mergeCell ref="BO22:BP22"/>
    <mergeCell ref="BQ22:BR22"/>
    <mergeCell ref="BO15:BQ15"/>
    <mergeCell ref="BO16:BQ16"/>
    <mergeCell ref="BO25:BP25"/>
    <mergeCell ref="BQ25:BR25"/>
    <mergeCell ref="BV25:BZ25"/>
    <mergeCell ref="BU22:BU35"/>
    <mergeCell ref="BV22:BZ22"/>
    <mergeCell ref="BV23:BZ23"/>
    <mergeCell ref="CI6:CK6"/>
    <mergeCell ref="CI21:CK21"/>
    <mergeCell ref="CF29:CH30"/>
    <mergeCell ref="CI29:CK30"/>
    <mergeCell ref="BV35:CB35"/>
    <mergeCell ref="CF17:CH17"/>
    <mergeCell ref="CC12:CE12"/>
    <mergeCell ref="CF12:CH12"/>
    <mergeCell ref="CI12:CK12"/>
    <mergeCell ref="CL12:CN12"/>
    <mergeCell ref="BT3:BT35"/>
    <mergeCell ref="BU4:BU21"/>
    <mergeCell ref="BV21:CB21"/>
    <mergeCell ref="BG31:BH31"/>
    <mergeCell ref="CI4:CK4"/>
    <mergeCell ref="CL4:CN4"/>
    <mergeCell ref="BG25:BH25"/>
    <mergeCell ref="BM25:BN25"/>
    <mergeCell ref="BD10:BN10"/>
    <mergeCell ref="CF3:CH3"/>
    <mergeCell ref="CI3:CK3"/>
    <mergeCell ref="CL3:CN3"/>
    <mergeCell ref="CI17:CK17"/>
    <mergeCell ref="CF35:CH35"/>
    <mergeCell ref="CC29:CE30"/>
    <mergeCell ref="CC11:CE11"/>
    <mergeCell ref="BX12:BZ12"/>
    <mergeCell ref="CC8:CE8"/>
    <mergeCell ref="CF8:CH8"/>
    <mergeCell ref="CI8:CK8"/>
    <mergeCell ref="BG30:BH30"/>
    <mergeCell ref="CF7:CH7"/>
    <mergeCell ref="CI7:CK7"/>
    <mergeCell ref="CL7:CN7"/>
    <mergeCell ref="CO7:CQ7"/>
    <mergeCell ref="CF4:CH4"/>
    <mergeCell ref="CL5:CN5"/>
    <mergeCell ref="CO5:CQ5"/>
    <mergeCell ref="BX5:BZ5"/>
    <mergeCell ref="CC5:CE5"/>
    <mergeCell ref="CF5:CH5"/>
    <mergeCell ref="CI5:CK5"/>
    <mergeCell ref="BX4:BZ4"/>
    <mergeCell ref="CC4:CE4"/>
    <mergeCell ref="CL6:CN6"/>
    <mergeCell ref="CO6:CQ6"/>
    <mergeCell ref="CO12:CQ12"/>
    <mergeCell ref="BD13:BN13"/>
    <mergeCell ref="BX13:BZ13"/>
    <mergeCell ref="CC13:CE13"/>
    <mergeCell ref="CF13:CH13"/>
    <mergeCell ref="CI13:CK13"/>
    <mergeCell ref="CL13:CN13"/>
    <mergeCell ref="CO13:CQ13"/>
    <mergeCell ref="CF18:CH18"/>
    <mergeCell ref="CO25:CQ26"/>
    <mergeCell ref="CO27:CQ28"/>
    <mergeCell ref="CL35:CN35"/>
    <mergeCell ref="CO35:CQ35"/>
    <mergeCell ref="CL14:CN14"/>
    <mergeCell ref="CO14:CQ14"/>
    <mergeCell ref="AZ15:BC15"/>
    <mergeCell ref="BD15:BN15"/>
    <mergeCell ref="BX15:BZ15"/>
    <mergeCell ref="CC15:CE15"/>
    <mergeCell ref="CF15:CH15"/>
    <mergeCell ref="CI15:CK15"/>
    <mergeCell ref="CL15:CN15"/>
    <mergeCell ref="CO15:CQ15"/>
    <mergeCell ref="AZ14:BC14"/>
    <mergeCell ref="BD14:BN14"/>
    <mergeCell ref="BX14:BZ14"/>
    <mergeCell ref="CC14:CE14"/>
    <mergeCell ref="CF14:CH14"/>
    <mergeCell ref="CI14:CK14"/>
    <mergeCell ref="CL16:CN16"/>
    <mergeCell ref="CO16:CQ16"/>
    <mergeCell ref="BX17:BZ17"/>
    <mergeCell ref="AY21:BD22"/>
    <mergeCell ref="CL17:CN17"/>
    <mergeCell ref="CO17:CQ17"/>
    <mergeCell ref="BX18:BZ18"/>
    <mergeCell ref="BX16:BZ16"/>
    <mergeCell ref="CC16:CE16"/>
    <mergeCell ref="CF16:CH16"/>
    <mergeCell ref="CI16:CK16"/>
    <mergeCell ref="CO19:CQ19"/>
    <mergeCell ref="BX20:BZ20"/>
    <mergeCell ref="CC20:CE20"/>
    <mergeCell ref="CF20:CH20"/>
    <mergeCell ref="CI20:CK20"/>
    <mergeCell ref="CL20:CN20"/>
    <mergeCell ref="CO20:CQ20"/>
    <mergeCell ref="CC18:CE18"/>
    <mergeCell ref="CI18:CK18"/>
    <mergeCell ref="CL18:CN18"/>
    <mergeCell ref="CO18:CQ18"/>
    <mergeCell ref="BX19:BZ19"/>
    <mergeCell ref="CC19:CE19"/>
    <mergeCell ref="CF19:CH19"/>
    <mergeCell ref="CI19:CK19"/>
    <mergeCell ref="CL19:CN19"/>
    <mergeCell ref="AY23:AY29"/>
    <mergeCell ref="AZ23:BD23"/>
    <mergeCell ref="BG23:BH23"/>
    <mergeCell ref="CI23:CK23"/>
    <mergeCell ref="CL23:CN23"/>
    <mergeCell ref="CO23:CQ23"/>
    <mergeCell ref="AZ24:BD24"/>
    <mergeCell ref="BG24:BH24"/>
    <mergeCell ref="BM24:BN24"/>
    <mergeCell ref="BO24:BP24"/>
    <mergeCell ref="BM23:BN23"/>
    <mergeCell ref="BO23:BP23"/>
    <mergeCell ref="BQ23:BR23"/>
    <mergeCell ref="CC23:CE23"/>
    <mergeCell ref="CF23:CH23"/>
    <mergeCell ref="CO24:CQ24"/>
    <mergeCell ref="AZ27:BD27"/>
    <mergeCell ref="AZ29:BE29"/>
    <mergeCell ref="AZ25:BD25"/>
    <mergeCell ref="CB25:CB26"/>
    <mergeCell ref="CC25:CE26"/>
    <mergeCell ref="CF25:CH26"/>
    <mergeCell ref="CI25:CK26"/>
    <mergeCell ref="CO21:CQ21"/>
    <mergeCell ref="BG22:BH22"/>
    <mergeCell ref="CI22:CK22"/>
    <mergeCell ref="CL22:CN22"/>
    <mergeCell ref="CO22:CQ22"/>
    <mergeCell ref="CF27:CH28"/>
    <mergeCell ref="CI27:CK28"/>
    <mergeCell ref="CF24:CH24"/>
    <mergeCell ref="CI24:CK24"/>
    <mergeCell ref="CL24:CN24"/>
    <mergeCell ref="CC21:CE21"/>
    <mergeCell ref="CF21:CH21"/>
    <mergeCell ref="CC22:CE22"/>
    <mergeCell ref="CF22:CH22"/>
    <mergeCell ref="CL25:CN26"/>
    <mergeCell ref="BV26:BZ26"/>
    <mergeCell ref="BG29:BH29"/>
    <mergeCell ref="CA29:CA30"/>
    <mergeCell ref="BT36:BT37"/>
    <mergeCell ref="CL21:CN21"/>
    <mergeCell ref="BU36:CB36"/>
    <mergeCell ref="BU37:CB37"/>
    <mergeCell ref="BV24:BZ24"/>
    <mergeCell ref="BQ24:BR24"/>
    <mergeCell ref="BQ31:BR31"/>
    <mergeCell ref="BM30:BN30"/>
    <mergeCell ref="BO30:BP30"/>
    <mergeCell ref="BQ30:BR30"/>
    <mergeCell ref="BV30:BZ30"/>
    <mergeCell ref="BM32:BN32"/>
    <mergeCell ref="BO31:BP31"/>
    <mergeCell ref="CL29:CN30"/>
    <mergeCell ref="BQ35:BR35"/>
    <mergeCell ref="BM37:BN37"/>
    <mergeCell ref="BO37:BP37"/>
    <mergeCell ref="CC35:CE35"/>
    <mergeCell ref="CL27:CN28"/>
    <mergeCell ref="CB27:CB28"/>
    <mergeCell ref="CC27:CE28"/>
    <mergeCell ref="BA33:BD33"/>
    <mergeCell ref="BG33:BH33"/>
    <mergeCell ref="BA35:BD35"/>
    <mergeCell ref="BA32:BD32"/>
    <mergeCell ref="BG32:BH32"/>
    <mergeCell ref="BA34:BD34"/>
    <mergeCell ref="BG34:BH34"/>
    <mergeCell ref="BG37:BH37"/>
    <mergeCell ref="BG35:BH35"/>
    <mergeCell ref="BA36:BD36"/>
    <mergeCell ref="BA37:BD37"/>
    <mergeCell ref="CO29:CQ30"/>
    <mergeCell ref="BV31:BZ31"/>
    <mergeCell ref="CF31:CH32"/>
    <mergeCell ref="CI31:CK32"/>
    <mergeCell ref="BM34:BN34"/>
    <mergeCell ref="BO34:BP34"/>
    <mergeCell ref="BQ34:BR34"/>
    <mergeCell ref="BV34:BZ34"/>
    <mergeCell ref="BV33:BZ33"/>
    <mergeCell ref="CB31:CB32"/>
    <mergeCell ref="CC31:CE32"/>
    <mergeCell ref="BO32:BP32"/>
    <mergeCell ref="BQ32:BR32"/>
    <mergeCell ref="BV32:BZ32"/>
    <mergeCell ref="BQ33:BR33"/>
    <mergeCell ref="BM29:BN29"/>
    <mergeCell ref="BO29:BP29"/>
    <mergeCell ref="BQ29:BR29"/>
    <mergeCell ref="BV29:BZ29"/>
    <mergeCell ref="CB29:CB30"/>
    <mergeCell ref="BM31:BN31"/>
    <mergeCell ref="CA31:CA32"/>
    <mergeCell ref="BA44:BD44"/>
    <mergeCell ref="BG44:BH44"/>
    <mergeCell ref="BQ44:BR44"/>
    <mergeCell ref="CO39:CQ39"/>
    <mergeCell ref="BA40:BD40"/>
    <mergeCell ref="CO38:CQ38"/>
    <mergeCell ref="BG36:BH36"/>
    <mergeCell ref="BM36:BN36"/>
    <mergeCell ref="BO36:BP36"/>
    <mergeCell ref="BQ36:BR36"/>
    <mergeCell ref="CC36:CE36"/>
    <mergeCell ref="CF36:CH36"/>
    <mergeCell ref="CI36:CK36"/>
    <mergeCell ref="CL36:CN36"/>
    <mergeCell ref="BT38:BT39"/>
    <mergeCell ref="CC37:CE37"/>
    <mergeCell ref="CF37:CH37"/>
    <mergeCell ref="CI37:CK37"/>
    <mergeCell ref="CL37:CN37"/>
    <mergeCell ref="CC38:CE38"/>
    <mergeCell ref="BG45:BH45"/>
    <mergeCell ref="BM45:BN45"/>
    <mergeCell ref="BO45:BP45"/>
    <mergeCell ref="BQ45:BR45"/>
    <mergeCell ref="BM44:BN44"/>
    <mergeCell ref="BO44:BP44"/>
    <mergeCell ref="BQ43:BR43"/>
    <mergeCell ref="BO35:BP35"/>
    <mergeCell ref="BQ41:BR41"/>
    <mergeCell ref="BG40:BH40"/>
    <mergeCell ref="BG39:BH39"/>
    <mergeCell ref="BM35:BN35"/>
    <mergeCell ref="CX42:CY42"/>
    <mergeCell ref="CX35:CY35"/>
    <mergeCell ref="BM40:BN40"/>
    <mergeCell ref="BO40:BP40"/>
    <mergeCell ref="BQ40:BR40"/>
    <mergeCell ref="BO39:BP39"/>
    <mergeCell ref="BQ39:BR39"/>
    <mergeCell ref="CC39:CE39"/>
    <mergeCell ref="CF39:CH39"/>
    <mergeCell ref="CI39:CK39"/>
    <mergeCell ref="BM39:BN39"/>
    <mergeCell ref="CL39:CN39"/>
    <mergeCell ref="CO37:CQ37"/>
    <mergeCell ref="BU38:CB38"/>
    <mergeCell ref="BU39:CB39"/>
    <mergeCell ref="BM38:BN38"/>
    <mergeCell ref="BO38:BP38"/>
    <mergeCell ref="BQ38:BR38"/>
    <mergeCell ref="CO36:CQ36"/>
    <mergeCell ref="BQ37:BR37"/>
    <mergeCell ref="CF38:CH38"/>
    <mergeCell ref="CI38:CK38"/>
    <mergeCell ref="CL38:CN38"/>
    <mergeCell ref="CI35:CK35"/>
    <mergeCell ref="AR4:AT4"/>
    <mergeCell ref="AR5:AT5"/>
    <mergeCell ref="AR6:AT6"/>
    <mergeCell ref="AR7:AT7"/>
    <mergeCell ref="AR23:AT23"/>
    <mergeCell ref="AR24:AT24"/>
    <mergeCell ref="BE55:BF55"/>
    <mergeCell ref="AR36:AT36"/>
    <mergeCell ref="AR39:AT39"/>
    <mergeCell ref="AX47:BR47"/>
    <mergeCell ref="BQ42:BR42"/>
    <mergeCell ref="BA42:BD42"/>
    <mergeCell ref="BG42:BH42"/>
    <mergeCell ref="BM42:BN42"/>
    <mergeCell ref="BO42:BP42"/>
    <mergeCell ref="BA41:BD41"/>
    <mergeCell ref="BG41:BH41"/>
    <mergeCell ref="BM41:BN41"/>
    <mergeCell ref="BO41:BP41"/>
    <mergeCell ref="BG46:BH46"/>
    <mergeCell ref="BM46:BN46"/>
    <mergeCell ref="BO46:BP46"/>
    <mergeCell ref="BQ46:BR46"/>
    <mergeCell ref="AU31:AU32"/>
    <mergeCell ref="AV31:AV32"/>
    <mergeCell ref="BA43:BD43"/>
    <mergeCell ref="BG43:BH43"/>
    <mergeCell ref="BM43:BN43"/>
    <mergeCell ref="BO43:BP43"/>
    <mergeCell ref="AV25:AV26"/>
    <mergeCell ref="AU25:AU26"/>
    <mergeCell ref="AR25:AT26"/>
    <mergeCell ref="AU29:AU30"/>
    <mergeCell ref="AR29:AT30"/>
    <mergeCell ref="AV29:AV30"/>
    <mergeCell ref="AV27:AV28"/>
    <mergeCell ref="AU27:AU28"/>
    <mergeCell ref="AR27:AT28"/>
    <mergeCell ref="AZ38:AZ45"/>
    <mergeCell ref="BA38:BD38"/>
    <mergeCell ref="BG38:BH38"/>
    <mergeCell ref="BM33:BN33"/>
    <mergeCell ref="BO33:BP33"/>
    <mergeCell ref="AY30:AY46"/>
    <mergeCell ref="AZ30:AZ37"/>
    <mergeCell ref="BA30:BD30"/>
    <mergeCell ref="BA39:BD39"/>
    <mergeCell ref="AZ46:BE46"/>
  </mergeCells>
  <phoneticPr fontId="3"/>
  <conditionalFormatting sqref="AQ40:AR40 AM43:AM47">
    <cfRule type="cellIs" dxfId="194" priority="274" stopIfTrue="1" operator="equal">
      <formula>0</formula>
    </cfRule>
  </conditionalFormatting>
  <conditionalFormatting sqref="AF21:AW21">
    <cfRule type="cellIs" dxfId="193" priority="273" stopIfTrue="1" operator="equal">
      <formula>0</formula>
    </cfRule>
  </conditionalFormatting>
  <conditionalFormatting sqref="AL35 AI35 AG42 X42:X47 AA42:AA47 AB43:AC47 AD42:AD47 AI43:AJ47 AF43:AG47 AM42 AL43:AM47 AQ44:AQ47 AP43:AP47">
    <cfRule type="cellIs" dxfId="192" priority="266" stopIfTrue="1" operator="between">
      <formula>0</formula>
      <formula>0</formula>
    </cfRule>
  </conditionalFormatting>
  <conditionalFormatting sqref="AQ43:AQ47">
    <cfRule type="cellIs" dxfId="191" priority="264" stopIfTrue="1" operator="equal">
      <formula>0</formula>
    </cfRule>
  </conditionalFormatting>
  <conditionalFormatting sqref="AS41:AV41 AH41:AK41 AM41:AN41 AP41:AQ41 Y41:AF41">
    <cfRule type="cellIs" dxfId="190" priority="263" stopIfTrue="1" operator="between">
      <formula>0</formula>
      <formula>0</formula>
    </cfRule>
  </conditionalFormatting>
  <conditionalFormatting sqref="AQ41:AR41">
    <cfRule type="cellIs" dxfId="189" priority="262" stopIfTrue="1" operator="equal">
      <formula>0</formula>
    </cfRule>
  </conditionalFormatting>
  <conditionalFormatting sqref="AT41:AU41">
    <cfRule type="cellIs" dxfId="188" priority="261" stopIfTrue="1" operator="equal">
      <formula>0</formula>
    </cfRule>
  </conditionalFormatting>
  <conditionalFormatting sqref="Y41:AF41 AH41:AK41 AM41:AN41 AP41:AQ41 AS41:AV41">
    <cfRule type="cellIs" dxfId="187" priority="257" stopIfTrue="1" operator="between">
      <formula>0</formula>
      <formula>0</formula>
    </cfRule>
  </conditionalFormatting>
  <conditionalFormatting sqref="AQ41:AR41">
    <cfRule type="cellIs" dxfId="186" priority="256" stopIfTrue="1" operator="equal">
      <formula>0</formula>
    </cfRule>
  </conditionalFormatting>
  <conditionalFormatting sqref="AT41:AU41">
    <cfRule type="cellIs" dxfId="185" priority="255" stopIfTrue="1" operator="equal">
      <formula>0</formula>
    </cfRule>
  </conditionalFormatting>
  <conditionalFormatting sqref="AE23:AE24">
    <cfRule type="cellIs" dxfId="184" priority="251" stopIfTrue="1" operator="between">
      <formula>0</formula>
      <formula>0</formula>
    </cfRule>
  </conditionalFormatting>
  <conditionalFormatting sqref="T22">
    <cfRule type="cellIs" dxfId="183" priority="250" stopIfTrue="1" operator="between">
      <formula>0</formula>
      <formula>0</formula>
    </cfRule>
  </conditionalFormatting>
  <conditionalFormatting sqref="AL22 AI22 AO6 AL6 AO10 AL10 AO22 AL25 AR6 AR10 AR22 AU6:AV6 AU10:AV10 AU22:AV22 AF23:AI25 AO25 AR25 AU25:AV25 AU31:AV31 AR31 AU29:AV29 AR29 AR33:AR34 AU33:AV34 AU27:AV27 AR27 AO27 AO29 AO31 AO33:AO34 G10:G14 P10:Q14">
    <cfRule type="containsBlanks" dxfId="182" priority="279" stopIfTrue="1">
      <formula>LEN(TRIM(G6))=0</formula>
    </cfRule>
  </conditionalFormatting>
  <conditionalFormatting sqref="J23:S28">
    <cfRule type="containsBlanks" dxfId="181" priority="280" stopIfTrue="1">
      <formula>LEN(TRIM(J23))=0</formula>
    </cfRule>
  </conditionalFormatting>
  <conditionalFormatting sqref="AF5:AH10 AF11:AI20 AL5 AO5 AL7:AL9 AL11:AL20 AR5 AO7:AO9 AO11:AO20 AU5:AV5 AR7:AR9 AU7:AV9 AR11:AR20 AU11:AV20">
    <cfRule type="containsBlanks" dxfId="180" priority="283" stopIfTrue="1">
      <formula>LEN(TRIM(AF5))=0</formula>
    </cfRule>
  </conditionalFormatting>
  <conditionalFormatting sqref="AF22:AH22 AL27 AL29 AL31 AF27:AI27 AF26:AH26 AF29:AI29 AF28:AH28 AF31:AI31 AF30:AH30 AF33:AI34 AF32:AH32 AL23:AL24 AL33:AL34 AO23:AO24 AR23:AR24 AU23:AV24">
    <cfRule type="containsBlanks" dxfId="179" priority="284" stopIfTrue="1">
      <formula>LEN(TRIM(AF22))=0</formula>
    </cfRule>
  </conditionalFormatting>
  <conditionalFormatting sqref="AJ42">
    <cfRule type="cellIs" dxfId="178" priority="153" stopIfTrue="1" operator="between">
      <formula>0</formula>
      <formula>0</formula>
    </cfRule>
  </conditionalFormatting>
  <conditionalFormatting sqref="J23:K23">
    <cfRule type="expression" priority="178" stopIfTrue="1">
      <formula>$H$4&lt;=12</formula>
    </cfRule>
  </conditionalFormatting>
  <conditionalFormatting sqref="G15:G16 P15:Q16">
    <cfRule type="containsBlanks" dxfId="177" priority="285" stopIfTrue="1">
      <formula>LEN(TRIM(G15))=0</formula>
    </cfRule>
  </conditionalFormatting>
  <conditionalFormatting sqref="J30:S37">
    <cfRule type="containsBlanks" dxfId="176" priority="281" stopIfTrue="1">
      <formula>LEN(TRIM(J30))=0</formula>
    </cfRule>
  </conditionalFormatting>
  <conditionalFormatting sqref="J38:S46">
    <cfRule type="containsBlanks" dxfId="175" priority="282" stopIfTrue="1">
      <formula>LEN(TRIM(J38))=0</formula>
    </cfRule>
  </conditionalFormatting>
  <conditionalFormatting sqref="J29:S29">
    <cfRule type="cellIs" dxfId="174" priority="158" stopIfTrue="1" operator="equal">
      <formula>0</formula>
    </cfRule>
  </conditionalFormatting>
  <conditionalFormatting sqref="AF38:AV38">
    <cfRule type="cellIs" dxfId="173" priority="157" stopIfTrue="1" operator="equal">
      <formula>0</formula>
    </cfRule>
  </conditionalFormatting>
  <conditionalFormatting sqref="AF21:AT21">
    <cfRule type="cellIs" dxfId="172" priority="156" stopIfTrue="1" operator="equal">
      <formula>0</formula>
    </cfRule>
  </conditionalFormatting>
  <conditionalFormatting sqref="AF35 AO35 AR35">
    <cfRule type="cellIs" dxfId="171" priority="155" stopIfTrue="1" operator="between">
      <formula>0</formula>
      <formula>0</formula>
    </cfRule>
  </conditionalFormatting>
  <conditionalFormatting sqref="AI5:AK10">
    <cfRule type="containsBlanks" dxfId="170" priority="286" stopIfTrue="1">
      <formula>LEN(TRIM(AI5))=0</formula>
    </cfRule>
  </conditionalFormatting>
  <conditionalFormatting sqref="AF36:AV36">
    <cfRule type="cellIs" dxfId="169" priority="152" stopIfTrue="1" operator="equal">
      <formula>0</formula>
    </cfRule>
  </conditionalFormatting>
  <conditionalFormatting sqref="AF39:AV39">
    <cfRule type="cellIs" dxfId="168" priority="149" stopIfTrue="1" operator="equal">
      <formula>0</formula>
    </cfRule>
  </conditionalFormatting>
  <conditionalFormatting sqref="AF37:AV37">
    <cfRule type="cellIs" dxfId="167" priority="148" operator="equal">
      <formula>0</formula>
    </cfRule>
  </conditionalFormatting>
  <conditionalFormatting sqref="AU35:AV35">
    <cfRule type="cellIs" dxfId="166" priority="147" operator="equal">
      <formula>0</formula>
    </cfRule>
  </conditionalFormatting>
  <conditionalFormatting sqref="BG38:BP45">
    <cfRule type="containsBlanks" dxfId="165" priority="69" stopIfTrue="1">
      <formula>LEN(TRIM(BG38))=0</formula>
    </cfRule>
  </conditionalFormatting>
  <conditionalFormatting sqref="CN40:CO40 CJ43:CJ47">
    <cfRule type="cellIs" dxfId="164" priority="66" stopIfTrue="1" operator="equal">
      <formula>0</formula>
    </cfRule>
  </conditionalFormatting>
  <conditionalFormatting sqref="CC21:CT21">
    <cfRule type="cellIs" dxfId="163" priority="65" stopIfTrue="1" operator="equal">
      <formula>0</formula>
    </cfRule>
  </conditionalFormatting>
  <conditionalFormatting sqref="CC5:CE10 CC11:CF20 CI5 CL5 CI7:CI9 CI11:CI20 CO5 CL7:CL9 CL11:CL20 CR5:CS5 CO7:CO9 CR7:CS9 CO11:CO20 CR11:CS20">
    <cfRule type="containsBlanks" dxfId="162" priority="70" stopIfTrue="1">
      <formula>LEN(TRIM(CC5))=0</formula>
    </cfRule>
  </conditionalFormatting>
  <conditionalFormatting sqref="CC22:CE22 CI27 CI29 CI31 CC27:CF27 CC26:CE26 CC29:CF29 CC28:CE28 CC31:CF31 CC30:CE30 CC33:CF34 CC32:CE32 CI23:CI24 CI33:CI34 CL23:CL24 CO23:CO24 CR23:CS24">
    <cfRule type="containsBlanks" dxfId="161" priority="71" stopIfTrue="1">
      <formula>LEN(TRIM(CC22))=0</formula>
    </cfRule>
  </conditionalFormatting>
  <conditionalFormatting sqref="CC38:CS38">
    <cfRule type="cellIs" dxfId="160" priority="53" stopIfTrue="1" operator="equal">
      <formula>0</formula>
    </cfRule>
  </conditionalFormatting>
  <conditionalFormatting sqref="CC21:CQ21">
    <cfRule type="cellIs" dxfId="159" priority="52" stopIfTrue="1" operator="equal">
      <formula>0</formula>
    </cfRule>
  </conditionalFormatting>
  <conditionalFormatting sqref="Y23:AC23">
    <cfRule type="containsText" dxfId="158" priority="104" operator="containsText" text="▼クラフト（選択してください）▼">
      <formula>NOT(ISERROR(SEARCH("▼クラフト（選択してください）▼",Y23)))</formula>
    </cfRule>
  </conditionalFormatting>
  <conditionalFormatting sqref="Y24:AC24">
    <cfRule type="containsText" dxfId="157" priority="103" operator="containsText" text="▼クラフト（選択してください）▼">
      <formula>NOT(ISERROR(SEARCH("▼クラフト（選択してください）▼",Y24)))</formula>
    </cfRule>
  </conditionalFormatting>
  <conditionalFormatting sqref="T23:U28">
    <cfRule type="cellIs" dxfId="156" priority="102" operator="equal">
      <formula>"人数を再確認！"</formula>
    </cfRule>
  </conditionalFormatting>
  <conditionalFormatting sqref="T30:U37">
    <cfRule type="cellIs" dxfId="155" priority="101" operator="equal">
      <formula>"人数を再確認！"</formula>
    </cfRule>
  </conditionalFormatting>
  <conditionalFormatting sqref="T38:U41">
    <cfRule type="cellIs" dxfId="154" priority="100" operator="equal">
      <formula>"人数を再確認！"</formula>
    </cfRule>
  </conditionalFormatting>
  <conditionalFormatting sqref="T29:U29">
    <cfRule type="cellIs" dxfId="153" priority="99" operator="equal">
      <formula>"人数を再確認！"</formula>
    </cfRule>
  </conditionalFormatting>
  <conditionalFormatting sqref="T45:U45">
    <cfRule type="containsText" dxfId="152" priority="97" operator="containsText" text="人数を再確認！">
      <formula>NOT(ISERROR(SEARCH("人数を再確認！",T45)))</formula>
    </cfRule>
  </conditionalFormatting>
  <conditionalFormatting sqref="I23">
    <cfRule type="expression" dxfId="151" priority="96">
      <formula>$T$23="人数を再確認！"</formula>
    </cfRule>
  </conditionalFormatting>
  <conditionalFormatting sqref="I24">
    <cfRule type="expression" dxfId="150" priority="95">
      <formula>$T$24="人数を再確認！"</formula>
    </cfRule>
  </conditionalFormatting>
  <conditionalFormatting sqref="I25">
    <cfRule type="expression" dxfId="149" priority="94">
      <formula>$T$25="人数を再確認！"</formula>
    </cfRule>
  </conditionalFormatting>
  <conditionalFormatting sqref="I26:I28">
    <cfRule type="expression" dxfId="148" priority="93">
      <formula>$T$26="人数を再確認！"</formula>
    </cfRule>
  </conditionalFormatting>
  <conditionalFormatting sqref="I30">
    <cfRule type="expression" dxfId="147" priority="92">
      <formula>$T$30="人数を再確認！"</formula>
    </cfRule>
  </conditionalFormatting>
  <conditionalFormatting sqref="I31">
    <cfRule type="expression" dxfId="146" priority="91">
      <formula>$T$31="人数を再確認！"</formula>
    </cfRule>
  </conditionalFormatting>
  <conditionalFormatting sqref="I32">
    <cfRule type="expression" dxfId="145" priority="90">
      <formula>$T$32="人数を再確認！"</formula>
    </cfRule>
  </conditionalFormatting>
  <conditionalFormatting sqref="I33:I37">
    <cfRule type="expression" dxfId="144" priority="89">
      <formula>$T$33="人数を再確認！"</formula>
    </cfRule>
  </conditionalFormatting>
  <conditionalFormatting sqref="I29">
    <cfRule type="expression" dxfId="143" priority="88">
      <formula>$T$29="人数を再確認！"</formula>
    </cfRule>
  </conditionalFormatting>
  <conditionalFormatting sqref="I38">
    <cfRule type="expression" dxfId="142" priority="86">
      <formula>$T$38="人数を再確認！"</formula>
    </cfRule>
  </conditionalFormatting>
  <conditionalFormatting sqref="I39">
    <cfRule type="expression" dxfId="141" priority="85">
      <formula>$T$39="人数を再確認！"</formula>
    </cfRule>
  </conditionalFormatting>
  <conditionalFormatting sqref="I40">
    <cfRule type="expression" dxfId="140" priority="84">
      <formula>$T$40="人数を再確認！"</formula>
    </cfRule>
  </conditionalFormatting>
  <conditionalFormatting sqref="I41">
    <cfRule type="expression" dxfId="139" priority="83">
      <formula>$T$41="人数を再確認！"</formula>
    </cfRule>
  </conditionalFormatting>
  <conditionalFormatting sqref="I45">
    <cfRule type="expression" dxfId="138" priority="82">
      <formula>$T$45="人数を再確認！"</formula>
    </cfRule>
  </conditionalFormatting>
  <conditionalFormatting sqref="T46:U46">
    <cfRule type="expression" dxfId="137" priority="81">
      <formula>$T$46="人数を再確認！"</formula>
    </cfRule>
  </conditionalFormatting>
  <conditionalFormatting sqref="I46">
    <cfRule type="expression" dxfId="136" priority="80">
      <formula>$T$46="人数を再確認！"</formula>
    </cfRule>
  </conditionalFormatting>
  <conditionalFormatting sqref="AW5:AW20">
    <cfRule type="expression" dxfId="135" priority="79">
      <formula>AW5="人数を再確認！"</formula>
    </cfRule>
  </conditionalFormatting>
  <conditionalFormatting sqref="AW21">
    <cfRule type="expression" dxfId="134" priority="78">
      <formula>$AW$21="人数を再確認！"</formula>
    </cfRule>
  </conditionalFormatting>
  <conditionalFormatting sqref="AW22:AW28">
    <cfRule type="expression" dxfId="133" priority="77">
      <formula>AW22="数量を再確認！"</formula>
    </cfRule>
  </conditionalFormatting>
  <conditionalFormatting sqref="AW29:AW30">
    <cfRule type="expression" dxfId="132" priority="76">
      <formula>$AW$29="数量を再確認！"</formula>
    </cfRule>
  </conditionalFormatting>
  <conditionalFormatting sqref="AW35">
    <cfRule type="expression" dxfId="131" priority="75">
      <formula>$AW$35="数量を再確認！"</formula>
    </cfRule>
  </conditionalFormatting>
  <conditionalFormatting sqref="AE5:AE20">
    <cfRule type="expression" dxfId="130" priority="74">
      <formula>AW5="人数を再確認！"</formula>
    </cfRule>
  </conditionalFormatting>
  <conditionalFormatting sqref="CI35 CF35 CD42 BU42:BU47 BX42:BX47 BY43:BZ47 CA42:CA47 CF43:CG47 CC43:CD47 CJ42 CI43:CJ47 CN44:CN47 CM43:CM47">
    <cfRule type="cellIs" dxfId="129" priority="64" stopIfTrue="1" operator="between">
      <formula>0</formula>
      <formula>0</formula>
    </cfRule>
  </conditionalFormatting>
  <conditionalFormatting sqref="CN43:CN47">
    <cfRule type="cellIs" dxfId="128" priority="63" stopIfTrue="1" operator="equal">
      <formula>0</formula>
    </cfRule>
  </conditionalFormatting>
  <conditionalFormatting sqref="CP41:CS41 CE41:CH41 CJ41:CK41 CM41:CN41 BV41:CC41">
    <cfRule type="cellIs" dxfId="127" priority="62" stopIfTrue="1" operator="between">
      <formula>0</formula>
      <formula>0</formula>
    </cfRule>
  </conditionalFormatting>
  <conditionalFormatting sqref="CN41:CO41">
    <cfRule type="cellIs" dxfId="126" priority="61" stopIfTrue="1" operator="equal">
      <formula>0</formula>
    </cfRule>
  </conditionalFormatting>
  <conditionalFormatting sqref="CQ41:CR41">
    <cfRule type="cellIs" dxfId="125" priority="60" stopIfTrue="1" operator="equal">
      <formula>0</formula>
    </cfRule>
  </conditionalFormatting>
  <conditionalFormatting sqref="BV41:CC41 CE41:CH41 CJ41:CK41 CM41:CN41 CP41:CS41">
    <cfRule type="cellIs" dxfId="124" priority="59" stopIfTrue="1" operator="between">
      <formula>0</formula>
      <formula>0</formula>
    </cfRule>
  </conditionalFormatting>
  <conditionalFormatting sqref="CN41:CO41">
    <cfRule type="cellIs" dxfId="123" priority="58" stopIfTrue="1" operator="equal">
      <formula>0</formula>
    </cfRule>
  </conditionalFormatting>
  <conditionalFormatting sqref="CQ41:CR41">
    <cfRule type="cellIs" dxfId="122" priority="57" stopIfTrue="1" operator="equal">
      <formula>0</formula>
    </cfRule>
  </conditionalFormatting>
  <conditionalFormatting sqref="CB23:CB24">
    <cfRule type="cellIs" dxfId="121" priority="56" stopIfTrue="1" operator="between">
      <formula>0</formula>
      <formula>0</formula>
    </cfRule>
  </conditionalFormatting>
  <conditionalFormatting sqref="BQ22">
    <cfRule type="cellIs" dxfId="120" priority="55" stopIfTrue="1" operator="between">
      <formula>0</formula>
      <formula>0</formula>
    </cfRule>
  </conditionalFormatting>
  <conditionalFormatting sqref="BD10:BN14 CI22 CF22 CL6 CI6 CL10 CI10 CL22 CI25 CO6 CO10 CO22 CR6:CS6 CR10:CS10 CR22:CS22 CC23:CF25 CL25 CO25 CR25:CS25 CR31:CS31 CO31 CR29:CS29 CO29 CO33:CO34 CR33:CS34 CR27:CS27 CO27 CL27 CL29 CL31 CL33:CL34">
    <cfRule type="containsBlanks" dxfId="119" priority="67" stopIfTrue="1">
      <formula>LEN(TRIM(BD6))=0</formula>
    </cfRule>
  </conditionalFormatting>
  <conditionalFormatting sqref="BG23:BH23">
    <cfRule type="expression" priority="54" stopIfTrue="1">
      <formula>$H$4&lt;=12</formula>
    </cfRule>
  </conditionalFormatting>
  <conditionalFormatting sqref="BD15:BN16">
    <cfRule type="containsBlanks" dxfId="118" priority="72" stopIfTrue="1">
      <formula>LEN(TRIM(BD15))=0</formula>
    </cfRule>
  </conditionalFormatting>
  <conditionalFormatting sqref="BG30:BP37">
    <cfRule type="containsBlanks" dxfId="117" priority="68">
      <formula>LEN(TRIM(BG30))=0</formula>
    </cfRule>
  </conditionalFormatting>
  <conditionalFormatting sqref="CC35 CL35 CO35">
    <cfRule type="cellIs" dxfId="116" priority="51" stopIfTrue="1" operator="between">
      <formula>0</formula>
      <formula>0</formula>
    </cfRule>
  </conditionalFormatting>
  <conditionalFormatting sqref="CF5:CH10">
    <cfRule type="containsBlanks" dxfId="115" priority="73" stopIfTrue="1">
      <formula>LEN(TRIM(CF5))=0</formula>
    </cfRule>
  </conditionalFormatting>
  <conditionalFormatting sqref="CG42">
    <cfRule type="cellIs" dxfId="114" priority="50" stopIfTrue="1" operator="between">
      <formula>0</formula>
      <formula>0</formula>
    </cfRule>
  </conditionalFormatting>
  <conditionalFormatting sqref="CC36:CS36">
    <cfRule type="cellIs" dxfId="113" priority="49" stopIfTrue="1" operator="equal">
      <formula>0</formula>
    </cfRule>
  </conditionalFormatting>
  <conditionalFormatting sqref="CC39:CS39">
    <cfRule type="cellIs" dxfId="112" priority="48" stopIfTrue="1" operator="equal">
      <formula>0</formula>
    </cfRule>
  </conditionalFormatting>
  <conditionalFormatting sqref="CC37:CS37">
    <cfRule type="cellIs" dxfId="111" priority="47" operator="equal">
      <formula>0</formula>
    </cfRule>
  </conditionalFormatting>
  <conditionalFormatting sqref="CR35:CS35">
    <cfRule type="cellIs" dxfId="110" priority="46" operator="equal">
      <formula>0</formula>
    </cfRule>
  </conditionalFormatting>
  <conditionalFormatting sqref="BV23:BZ23">
    <cfRule type="containsText" dxfId="109" priority="45" operator="containsText" text="▼クラフト（選択してください）▼">
      <formula>NOT(ISERROR(SEARCH("▼クラフト（選択してください）▼",BV23)))</formula>
    </cfRule>
  </conditionalFormatting>
  <conditionalFormatting sqref="BV24:BZ24">
    <cfRule type="containsText" dxfId="108" priority="44" operator="containsText" text="▼クラフト（選択してください）▼">
      <formula>NOT(ISERROR(SEARCH("▼クラフト（選択してください）▼",BV24)))</formula>
    </cfRule>
  </conditionalFormatting>
  <conditionalFormatting sqref="BQ23:BR28">
    <cfRule type="cellIs" dxfId="107" priority="43" operator="equal">
      <formula>"人数を再確認！"</formula>
    </cfRule>
  </conditionalFormatting>
  <conditionalFormatting sqref="BQ30:BR37">
    <cfRule type="cellIs" dxfId="106" priority="42" operator="equal">
      <formula>"人数を再確認！"</formula>
    </cfRule>
  </conditionalFormatting>
  <conditionalFormatting sqref="BQ38:BR41">
    <cfRule type="cellIs" dxfId="105" priority="41" operator="equal">
      <formula>"人数を再確認！"</formula>
    </cfRule>
  </conditionalFormatting>
  <conditionalFormatting sqref="BQ29:BR29">
    <cfRule type="cellIs" dxfId="104" priority="40" operator="equal">
      <formula>"人数を再確認！"</formula>
    </cfRule>
  </conditionalFormatting>
  <conditionalFormatting sqref="BQ45:BR45">
    <cfRule type="containsText" dxfId="103" priority="39" operator="containsText" text="人数を再確認！">
      <formula>NOT(ISERROR(SEARCH("人数を再確認！",BQ45)))</formula>
    </cfRule>
  </conditionalFormatting>
  <conditionalFormatting sqref="BF23">
    <cfRule type="expression" dxfId="102" priority="38">
      <formula>$T$23="人数を再確認！"</formula>
    </cfRule>
  </conditionalFormatting>
  <conditionalFormatting sqref="BF24">
    <cfRule type="expression" dxfId="101" priority="37">
      <formula>$T$24="人数を再確認！"</formula>
    </cfRule>
  </conditionalFormatting>
  <conditionalFormatting sqref="BF25">
    <cfRule type="expression" dxfId="100" priority="36">
      <formula>$T$25="人数を再確認！"</formula>
    </cfRule>
  </conditionalFormatting>
  <conditionalFormatting sqref="BF26:BF28">
    <cfRule type="expression" dxfId="99" priority="35">
      <formula>$T$26="人数を再確認！"</formula>
    </cfRule>
  </conditionalFormatting>
  <conditionalFormatting sqref="BF30">
    <cfRule type="expression" dxfId="98" priority="34">
      <formula>$T$30="人数を再確認！"</formula>
    </cfRule>
  </conditionalFormatting>
  <conditionalFormatting sqref="BF31">
    <cfRule type="expression" dxfId="97" priority="33">
      <formula>$T$31="人数を再確認！"</formula>
    </cfRule>
  </conditionalFormatting>
  <conditionalFormatting sqref="BF32">
    <cfRule type="expression" dxfId="96" priority="32">
      <formula>$T$32="人数を再確認！"</formula>
    </cfRule>
  </conditionalFormatting>
  <conditionalFormatting sqref="BF33:BF37">
    <cfRule type="expression" dxfId="95" priority="31">
      <formula>$T$33="人数を再確認！"</formula>
    </cfRule>
  </conditionalFormatting>
  <conditionalFormatting sqref="BF29">
    <cfRule type="expression" dxfId="94" priority="30">
      <formula>$T$29="人数を再確認！"</formula>
    </cfRule>
  </conditionalFormatting>
  <conditionalFormatting sqref="BF38">
    <cfRule type="expression" dxfId="93" priority="29">
      <formula>$T$38="人数を再確認！"</formula>
    </cfRule>
  </conditionalFormatting>
  <conditionalFormatting sqref="BF39">
    <cfRule type="expression" dxfId="92" priority="28">
      <formula>$T$39="人数を再確認！"</formula>
    </cfRule>
  </conditionalFormatting>
  <conditionalFormatting sqref="BF40">
    <cfRule type="expression" dxfId="91" priority="27">
      <formula>$T$40="人数を再確認！"</formula>
    </cfRule>
  </conditionalFormatting>
  <conditionalFormatting sqref="BF41">
    <cfRule type="expression" dxfId="90" priority="26">
      <formula>$T$41="人数を再確認！"</formula>
    </cfRule>
  </conditionalFormatting>
  <conditionalFormatting sqref="BF45">
    <cfRule type="expression" dxfId="89" priority="25">
      <formula>$T$45="人数を再確認！"</formula>
    </cfRule>
  </conditionalFormatting>
  <conditionalFormatting sqref="BQ46:BR46">
    <cfRule type="expression" dxfId="88" priority="24">
      <formula>$T$46="人数を再確認！"</formula>
    </cfRule>
  </conditionalFormatting>
  <conditionalFormatting sqref="BF46">
    <cfRule type="expression" dxfId="87" priority="23">
      <formula>$T$46="人数を再確認！"</formula>
    </cfRule>
  </conditionalFormatting>
  <conditionalFormatting sqref="CT5:CT20">
    <cfRule type="expression" dxfId="86" priority="22">
      <formula>CT5="人数を再確認！"</formula>
    </cfRule>
  </conditionalFormatting>
  <conditionalFormatting sqref="CT21">
    <cfRule type="expression" dxfId="85" priority="21">
      <formula>$AW$21="人数を再確認！"</formula>
    </cfRule>
  </conditionalFormatting>
  <conditionalFormatting sqref="CT22:CT28">
    <cfRule type="expression" dxfId="84" priority="20">
      <formula>CT22="数量を再確認！"</formula>
    </cfRule>
  </conditionalFormatting>
  <conditionalFormatting sqref="CT29:CT30">
    <cfRule type="expression" dxfId="83" priority="19">
      <formula>$AW$29="数量を再確認！"</formula>
    </cfRule>
  </conditionalFormatting>
  <conditionalFormatting sqref="CT35">
    <cfRule type="expression" dxfId="82" priority="18">
      <formula>$AW$35="数量を再確認！"</formula>
    </cfRule>
  </conditionalFormatting>
  <conditionalFormatting sqref="CB5:CB20">
    <cfRule type="expression" dxfId="81" priority="17">
      <formula>CT5="人数を再確認！"</formula>
    </cfRule>
  </conditionalFormatting>
  <conditionalFormatting sqref="BG29:BP29">
    <cfRule type="cellIs" dxfId="80" priority="16" stopIfTrue="1" operator="equal">
      <formula>0</formula>
    </cfRule>
  </conditionalFormatting>
  <conditionalFormatting sqref="BG23:BP28">
    <cfRule type="containsBlanks" dxfId="79" priority="15">
      <formula>LEN(TRIM(BG23))=0</formula>
    </cfRule>
  </conditionalFormatting>
  <conditionalFormatting sqref="R10:S10">
    <cfRule type="expression" dxfId="78" priority="14">
      <formula>$V$5=TRUE</formula>
    </cfRule>
  </conditionalFormatting>
  <conditionalFormatting sqref="R11:S11">
    <cfRule type="expression" dxfId="77" priority="13">
      <formula>$V$6=TRUE</formula>
    </cfRule>
  </conditionalFormatting>
  <conditionalFormatting sqref="R12:S12">
    <cfRule type="expression" dxfId="76" priority="12">
      <formula>$V$7=TRUE</formula>
    </cfRule>
  </conditionalFormatting>
  <conditionalFormatting sqref="R13:S13">
    <cfRule type="expression" dxfId="75" priority="11">
      <formula>$V$8=TRUE</formula>
    </cfRule>
  </conditionalFormatting>
  <conditionalFormatting sqref="R14:S14">
    <cfRule type="expression" dxfId="74" priority="10">
      <formula>$V$9=TRUE</formula>
    </cfRule>
  </conditionalFormatting>
  <conditionalFormatting sqref="R15:S15">
    <cfRule type="expression" dxfId="73" priority="9">
      <formula>$V$10=TRUE</formula>
    </cfRule>
  </conditionalFormatting>
  <conditionalFormatting sqref="R16:S16">
    <cfRule type="expression" dxfId="72" priority="8">
      <formula>$V$11=TRUE</formula>
    </cfRule>
  </conditionalFormatting>
  <conditionalFormatting sqref="T10:U10">
    <cfRule type="expression" dxfId="71" priority="7">
      <formula>$V$12</formula>
    </cfRule>
  </conditionalFormatting>
  <conditionalFormatting sqref="T11:U11">
    <cfRule type="expression" dxfId="70" priority="6">
      <formula>$V$13=TRUE</formula>
    </cfRule>
  </conditionalFormatting>
  <conditionalFormatting sqref="T12:U12">
    <cfRule type="expression" dxfId="69" priority="5">
      <formula>$V$14=TRUE</formula>
    </cfRule>
  </conditionalFormatting>
  <conditionalFormatting sqref="T13:U13">
    <cfRule type="expression" dxfId="68" priority="4">
      <formula>$V$15=TRUE</formula>
    </cfRule>
  </conditionalFormatting>
  <conditionalFormatting sqref="T14:U14">
    <cfRule type="expression" dxfId="67" priority="3">
      <formula>$V$16=TRUE</formula>
    </cfRule>
  </conditionalFormatting>
  <conditionalFormatting sqref="T15:U15">
    <cfRule type="expression" dxfId="66" priority="2">
      <formula>$V$17=TRUE</formula>
    </cfRule>
  </conditionalFormatting>
  <conditionalFormatting sqref="T16:U16">
    <cfRule type="expression" dxfId="65" priority="1">
      <formula>$V$18</formula>
    </cfRule>
  </conditionalFormatting>
  <dataValidations xWindow="194" yWindow="407" count="17">
    <dataValidation type="list" allowBlank="1" showInputMessage="1" showErrorMessage="1" sqref="C73:G74" xr:uid="{00000000-0002-0000-0700-000000000000}">
      <formula1>$DA$25:$DA$27</formula1>
    </dataValidation>
    <dataValidation type="list" allowBlank="1" showInputMessage="1" showErrorMessage="1" sqref="AD31 AD80 CA31" xr:uid="{00000000-0002-0000-0700-000001000000}">
      <formula1>$CV$12:$CV$13</formula1>
    </dataValidation>
    <dataValidation type="whole" operator="equal" allowBlank="1" showInputMessage="1" showErrorMessage="1" errorTitle="引率割引適用者の人数が多すぎます！" error="引率割引の適応は生徒数の２０％までとなっております。【利用者名簿】を修正してください。" sqref="V31 BS31" xr:uid="{00000000-0002-0000-0700-000002000000}">
      <formula1>0</formula1>
    </dataValidation>
    <dataValidation type="custom" allowBlank="1" showInputMessage="1" showErrorMessage="1" sqref="AA5:AC5 BX5:BZ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I31" xr:uid="{A31DFF7D-946F-48B5-B0C8-17F8E1FE8F4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J31" xr:uid="{1CE327D5-9BE9-4F37-BDF0-358C730457F4}">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K31" xr:uid="{CF1D08EE-EBC6-450B-AED1-C2C9564C1D55}">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1" xr:uid="{2AEB1D13-D921-4D21-A78E-3B1D158628A1}">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M31:BN31" xr:uid="{68363C3E-7ACF-45B3-B42C-396E24D0AFCC}">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O31:BP31" xr:uid="{FA09078C-A8D6-4E7A-B46D-0D6E546771AE}">
      <formula1>BF$30*0.2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G39:BP39" xr:uid="{50DDABF7-4B25-440D-A4C3-DFF0C175F6AF}">
      <formula1>$I$38*0.2</formula1>
    </dataValidation>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BG31:BH31" xr:uid="{01E638DF-B5AA-4BD5-9C54-DDA4DAB48351}">
      <formula1>BF30*0.2</formula1>
    </dataValidation>
    <dataValidation type="list" allowBlank="1" showInputMessage="1" showErrorMessage="1" sqref="Y72:AC73" xr:uid="{00000000-0002-0000-0700-00000E000000}">
      <formula1>$DA$3:$DA$15</formula1>
    </dataValidation>
    <dataValidation type="list" allowBlank="1" showInputMessage="1" showErrorMessage="1" sqref="Y23:AC24 BV23:BZ24" xr:uid="{96063BCC-E3C6-458E-91FB-5E773AFB4BA7}">
      <formula1>$DA$3:$DA$14</formula1>
    </dataValidation>
    <dataValidation type="list" allowBlank="1" showInputMessage="1" showErrorMessage="1" sqref="C26:G27 AZ26:BD27" xr:uid="{F18301C6-E310-4F92-AF37-8AC70D77DC9F}">
      <formula1>$CU$24:$CU$26</formula1>
    </dataValidation>
    <dataValidation type="list" allowBlank="1" showInputMessage="1" showErrorMessage="1" prompt="団体の小・中学生以上の人数が２０名を超える場合【団体】を選択してください" sqref="C24:G25 AZ24:BD25" xr:uid="{E3FB2500-8D8F-4C1E-9CF7-F05F83D53037}">
      <formula1>$CU$19:$CU$23</formula1>
    </dataValidation>
  </dataValidations>
  <printOptions horizontalCentered="1" verticalCentered="1"/>
  <pageMargins left="0" right="0" top="0" bottom="0" header="0" footer="0"/>
  <pageSetup paperSize="9" scale="41" fitToWidth="0" orientation="landscape" r:id="rId1"/>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510" r:id="rId4" name="Check Box 2646">
              <controlPr defaultSize="0" autoFill="0" autoLine="0" autoPict="0">
                <anchor moveWithCells="1">
                  <from>
                    <xdr:col>17</xdr:col>
                    <xdr:colOff>57150</xdr:colOff>
                    <xdr:row>9</xdr:row>
                    <xdr:rowOff>28575</xdr:rowOff>
                  </from>
                  <to>
                    <xdr:col>17</xdr:col>
                    <xdr:colOff>285750</xdr:colOff>
                    <xdr:row>9</xdr:row>
                    <xdr:rowOff>314325</xdr:rowOff>
                  </to>
                </anchor>
              </controlPr>
            </control>
          </mc:Choice>
        </mc:AlternateContent>
        <mc:AlternateContent xmlns:mc="http://schemas.openxmlformats.org/markup-compatibility/2006">
          <mc:Choice Requires="x14">
            <control shapeId="39511" r:id="rId5" name="Check Box 2647">
              <controlPr defaultSize="0" autoFill="0" autoLine="0" autoPict="0">
                <anchor moveWithCells="1">
                  <from>
                    <xdr:col>17</xdr:col>
                    <xdr:colOff>57150</xdr:colOff>
                    <xdr:row>10</xdr:row>
                    <xdr:rowOff>38100</xdr:rowOff>
                  </from>
                  <to>
                    <xdr:col>17</xdr:col>
                    <xdr:colOff>276225</xdr:colOff>
                    <xdr:row>10</xdr:row>
                    <xdr:rowOff>295275</xdr:rowOff>
                  </to>
                </anchor>
              </controlPr>
            </control>
          </mc:Choice>
        </mc:AlternateContent>
        <mc:AlternateContent xmlns:mc="http://schemas.openxmlformats.org/markup-compatibility/2006">
          <mc:Choice Requires="x14">
            <control shapeId="39512" r:id="rId6" name="Check Box 2648">
              <controlPr defaultSize="0" autoFill="0" autoLine="0" autoPict="0">
                <anchor moveWithCells="1">
                  <from>
                    <xdr:col>17</xdr:col>
                    <xdr:colOff>57150</xdr:colOff>
                    <xdr:row>11</xdr:row>
                    <xdr:rowOff>47625</xdr:rowOff>
                  </from>
                  <to>
                    <xdr:col>17</xdr:col>
                    <xdr:colOff>276225</xdr:colOff>
                    <xdr:row>11</xdr:row>
                    <xdr:rowOff>295275</xdr:rowOff>
                  </to>
                </anchor>
              </controlPr>
            </control>
          </mc:Choice>
        </mc:AlternateContent>
        <mc:AlternateContent xmlns:mc="http://schemas.openxmlformats.org/markup-compatibility/2006">
          <mc:Choice Requires="x14">
            <control shapeId="39513" r:id="rId7" name="Check Box 2649">
              <controlPr defaultSize="0" autoFill="0" autoLine="0" autoPict="0">
                <anchor moveWithCells="1">
                  <from>
                    <xdr:col>17</xdr:col>
                    <xdr:colOff>57150</xdr:colOff>
                    <xdr:row>12</xdr:row>
                    <xdr:rowOff>38100</xdr:rowOff>
                  </from>
                  <to>
                    <xdr:col>17</xdr:col>
                    <xdr:colOff>257175</xdr:colOff>
                    <xdr:row>12</xdr:row>
                    <xdr:rowOff>285750</xdr:rowOff>
                  </to>
                </anchor>
              </controlPr>
            </control>
          </mc:Choice>
        </mc:AlternateContent>
        <mc:AlternateContent xmlns:mc="http://schemas.openxmlformats.org/markup-compatibility/2006">
          <mc:Choice Requires="x14">
            <control shapeId="39514" r:id="rId8" name="Check Box 2650">
              <controlPr defaultSize="0" autoFill="0" autoLine="0" autoPict="0">
                <anchor moveWithCells="1">
                  <from>
                    <xdr:col>17</xdr:col>
                    <xdr:colOff>66675</xdr:colOff>
                    <xdr:row>13</xdr:row>
                    <xdr:rowOff>47625</xdr:rowOff>
                  </from>
                  <to>
                    <xdr:col>17</xdr:col>
                    <xdr:colOff>285750</xdr:colOff>
                    <xdr:row>13</xdr:row>
                    <xdr:rowOff>295275</xdr:rowOff>
                  </to>
                </anchor>
              </controlPr>
            </control>
          </mc:Choice>
        </mc:AlternateContent>
        <mc:AlternateContent xmlns:mc="http://schemas.openxmlformats.org/markup-compatibility/2006">
          <mc:Choice Requires="x14">
            <control shapeId="39515" r:id="rId9" name="Check Box 2651">
              <controlPr defaultSize="0" autoFill="0" autoLine="0" autoPict="0">
                <anchor moveWithCells="1">
                  <from>
                    <xdr:col>17</xdr:col>
                    <xdr:colOff>57150</xdr:colOff>
                    <xdr:row>14</xdr:row>
                    <xdr:rowOff>47625</xdr:rowOff>
                  </from>
                  <to>
                    <xdr:col>17</xdr:col>
                    <xdr:colOff>257175</xdr:colOff>
                    <xdr:row>14</xdr:row>
                    <xdr:rowOff>295275</xdr:rowOff>
                  </to>
                </anchor>
              </controlPr>
            </control>
          </mc:Choice>
        </mc:AlternateContent>
        <mc:AlternateContent xmlns:mc="http://schemas.openxmlformats.org/markup-compatibility/2006">
          <mc:Choice Requires="x14">
            <control shapeId="39516" r:id="rId10" name="Check Box 2652">
              <controlPr defaultSize="0" autoFill="0" autoLine="0" autoPict="0">
                <anchor moveWithCells="1">
                  <from>
                    <xdr:col>17</xdr:col>
                    <xdr:colOff>66675</xdr:colOff>
                    <xdr:row>15</xdr:row>
                    <xdr:rowOff>57150</xdr:rowOff>
                  </from>
                  <to>
                    <xdr:col>17</xdr:col>
                    <xdr:colOff>276225</xdr:colOff>
                    <xdr:row>15</xdr:row>
                    <xdr:rowOff>304800</xdr:rowOff>
                  </to>
                </anchor>
              </controlPr>
            </control>
          </mc:Choice>
        </mc:AlternateContent>
        <mc:AlternateContent xmlns:mc="http://schemas.openxmlformats.org/markup-compatibility/2006">
          <mc:Choice Requires="x14">
            <control shapeId="39517" r:id="rId11" name="Check Box 2653">
              <controlPr defaultSize="0" autoFill="0" autoLine="0" autoPict="0">
                <anchor moveWithCells="1">
                  <from>
                    <xdr:col>19</xdr:col>
                    <xdr:colOff>28575</xdr:colOff>
                    <xdr:row>9</xdr:row>
                    <xdr:rowOff>57150</xdr:rowOff>
                  </from>
                  <to>
                    <xdr:col>19</xdr:col>
                    <xdr:colOff>238125</xdr:colOff>
                    <xdr:row>9</xdr:row>
                    <xdr:rowOff>304800</xdr:rowOff>
                  </to>
                </anchor>
              </controlPr>
            </control>
          </mc:Choice>
        </mc:AlternateContent>
        <mc:AlternateContent xmlns:mc="http://schemas.openxmlformats.org/markup-compatibility/2006">
          <mc:Choice Requires="x14">
            <control shapeId="39518" r:id="rId12" name="Check Box 2654">
              <controlPr defaultSize="0" autoFill="0" autoLine="0" autoPict="0">
                <anchor moveWithCells="1">
                  <from>
                    <xdr:col>19</xdr:col>
                    <xdr:colOff>28575</xdr:colOff>
                    <xdr:row>10</xdr:row>
                    <xdr:rowOff>57150</xdr:rowOff>
                  </from>
                  <to>
                    <xdr:col>19</xdr:col>
                    <xdr:colOff>238125</xdr:colOff>
                    <xdr:row>10</xdr:row>
                    <xdr:rowOff>304800</xdr:rowOff>
                  </to>
                </anchor>
              </controlPr>
            </control>
          </mc:Choice>
        </mc:AlternateContent>
        <mc:AlternateContent xmlns:mc="http://schemas.openxmlformats.org/markup-compatibility/2006">
          <mc:Choice Requires="x14">
            <control shapeId="39519" r:id="rId13" name="Check Box 2655">
              <controlPr defaultSize="0" autoFill="0" autoLine="0" autoPict="0">
                <anchor moveWithCells="1">
                  <from>
                    <xdr:col>19</xdr:col>
                    <xdr:colOff>28575</xdr:colOff>
                    <xdr:row>11</xdr:row>
                    <xdr:rowOff>47625</xdr:rowOff>
                  </from>
                  <to>
                    <xdr:col>19</xdr:col>
                    <xdr:colOff>266700</xdr:colOff>
                    <xdr:row>11</xdr:row>
                    <xdr:rowOff>295275</xdr:rowOff>
                  </to>
                </anchor>
              </controlPr>
            </control>
          </mc:Choice>
        </mc:AlternateContent>
        <mc:AlternateContent xmlns:mc="http://schemas.openxmlformats.org/markup-compatibility/2006">
          <mc:Choice Requires="x14">
            <control shapeId="39520" r:id="rId14" name="Check Box 2656">
              <controlPr defaultSize="0" autoFill="0" autoLine="0" autoPict="0">
                <anchor moveWithCells="1">
                  <from>
                    <xdr:col>19</xdr:col>
                    <xdr:colOff>28575</xdr:colOff>
                    <xdr:row>12</xdr:row>
                    <xdr:rowOff>57150</xdr:rowOff>
                  </from>
                  <to>
                    <xdr:col>19</xdr:col>
                    <xdr:colOff>228600</xdr:colOff>
                    <xdr:row>12</xdr:row>
                    <xdr:rowOff>304800</xdr:rowOff>
                  </to>
                </anchor>
              </controlPr>
            </control>
          </mc:Choice>
        </mc:AlternateContent>
        <mc:AlternateContent xmlns:mc="http://schemas.openxmlformats.org/markup-compatibility/2006">
          <mc:Choice Requires="x14">
            <control shapeId="39521" r:id="rId15" name="Check Box 2657">
              <controlPr defaultSize="0" autoFill="0" autoLine="0" autoPict="0">
                <anchor moveWithCells="1">
                  <from>
                    <xdr:col>19</xdr:col>
                    <xdr:colOff>28575</xdr:colOff>
                    <xdr:row>13</xdr:row>
                    <xdr:rowOff>47625</xdr:rowOff>
                  </from>
                  <to>
                    <xdr:col>19</xdr:col>
                    <xdr:colOff>266700</xdr:colOff>
                    <xdr:row>13</xdr:row>
                    <xdr:rowOff>295275</xdr:rowOff>
                  </to>
                </anchor>
              </controlPr>
            </control>
          </mc:Choice>
        </mc:AlternateContent>
        <mc:AlternateContent xmlns:mc="http://schemas.openxmlformats.org/markup-compatibility/2006">
          <mc:Choice Requires="x14">
            <control shapeId="39522" r:id="rId16" name="Check Box 2658">
              <controlPr defaultSize="0" autoFill="0" autoLine="0" autoPict="0">
                <anchor moveWithCells="1">
                  <from>
                    <xdr:col>19</xdr:col>
                    <xdr:colOff>28575</xdr:colOff>
                    <xdr:row>14</xdr:row>
                    <xdr:rowOff>47625</xdr:rowOff>
                  </from>
                  <to>
                    <xdr:col>19</xdr:col>
                    <xdr:colOff>266700</xdr:colOff>
                    <xdr:row>14</xdr:row>
                    <xdr:rowOff>295275</xdr:rowOff>
                  </to>
                </anchor>
              </controlPr>
            </control>
          </mc:Choice>
        </mc:AlternateContent>
        <mc:AlternateContent xmlns:mc="http://schemas.openxmlformats.org/markup-compatibility/2006">
          <mc:Choice Requires="x14">
            <control shapeId="39523" r:id="rId17" name="Check Box 2659">
              <controlPr defaultSize="0" autoFill="0" autoLine="0" autoPict="0">
                <anchor moveWithCells="1">
                  <from>
                    <xdr:col>19</xdr:col>
                    <xdr:colOff>28575</xdr:colOff>
                    <xdr:row>15</xdr:row>
                    <xdr:rowOff>47625</xdr:rowOff>
                  </from>
                  <to>
                    <xdr:col>19</xdr:col>
                    <xdr:colOff>228600</xdr:colOff>
                    <xdr:row>15</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F128"/>
  <sheetViews>
    <sheetView showZeros="0" view="pageBreakPreview" topLeftCell="A16" zoomScaleNormal="78" zoomScaleSheetLayoutView="100" workbookViewId="0">
      <selection activeCell="H20" sqref="H20:Y20"/>
    </sheetView>
  </sheetViews>
  <sheetFormatPr defaultRowHeight="13.5"/>
  <cols>
    <col min="1" max="21" width="3.625" style="53" customWidth="1"/>
    <col min="22" max="22" width="5.625" style="53" customWidth="1"/>
    <col min="23" max="23" width="3.625" style="53" customWidth="1"/>
    <col min="24" max="24" width="5.625" style="53" customWidth="1"/>
    <col min="25" max="52" width="3.625" style="53" customWidth="1"/>
    <col min="53" max="16384" width="9" style="53"/>
  </cols>
  <sheetData>
    <row r="1" spans="1:58" ht="14.25" customHeight="1">
      <c r="A1" s="2589"/>
      <c r="B1" s="2590"/>
      <c r="C1" s="2590"/>
      <c r="D1" s="2590"/>
      <c r="E1" s="2590"/>
      <c r="F1" s="2590"/>
      <c r="G1" s="2590"/>
      <c r="H1" s="2590"/>
      <c r="I1" s="2590"/>
      <c r="J1" s="2590"/>
      <c r="K1" s="2590"/>
      <c r="L1" s="2590"/>
      <c r="M1" s="2590"/>
      <c r="N1" s="2590"/>
      <c r="O1" s="2590"/>
      <c r="P1" s="2590"/>
      <c r="Q1" s="2590"/>
      <c r="R1" s="2590"/>
      <c r="S1" s="2590"/>
      <c r="T1" s="2590"/>
      <c r="U1" s="2590"/>
      <c r="V1" s="2590"/>
      <c r="W1" s="2590"/>
      <c r="X1" s="2590"/>
      <c r="Y1" s="2590"/>
      <c r="Z1" s="2591"/>
      <c r="AA1" s="2592"/>
      <c r="AB1" s="2593"/>
      <c r="AC1" s="2593"/>
      <c r="AD1" s="2593"/>
      <c r="AE1" s="2593"/>
      <c r="AF1" s="2593"/>
      <c r="AG1" s="2593"/>
      <c r="AH1" s="2593"/>
      <c r="AI1" s="2593"/>
      <c r="AJ1" s="2593"/>
      <c r="AK1" s="2593"/>
      <c r="AL1" s="2593"/>
      <c r="AM1" s="2593"/>
      <c r="AN1" s="2593"/>
      <c r="AO1" s="2593"/>
      <c r="AP1" s="2593"/>
      <c r="AQ1" s="2593"/>
      <c r="AR1" s="2593"/>
      <c r="AS1" s="2593"/>
      <c r="AT1" s="2593"/>
      <c r="AU1" s="2593"/>
      <c r="AV1" s="2593"/>
      <c r="AW1" s="2593"/>
      <c r="AX1" s="2593"/>
      <c r="AY1" s="2593"/>
      <c r="AZ1" s="2594"/>
    </row>
    <row r="2" spans="1:58" ht="23.25">
      <c r="A2" s="2595" t="s">
        <v>262</v>
      </c>
      <c r="B2" s="2596"/>
      <c r="C2" s="2596"/>
      <c r="D2" s="2596"/>
      <c r="E2" s="2596"/>
      <c r="F2" s="2596"/>
      <c r="G2" s="2596"/>
      <c r="H2" s="2596"/>
      <c r="I2" s="2596"/>
      <c r="J2" s="2596"/>
      <c r="K2" s="2596"/>
      <c r="L2" s="2596"/>
      <c r="M2" s="2596"/>
      <c r="N2" s="2596"/>
      <c r="O2" s="2596"/>
      <c r="P2" s="2596"/>
      <c r="Q2" s="2596"/>
      <c r="R2" s="2596"/>
      <c r="S2" s="2596"/>
      <c r="T2" s="2596"/>
      <c r="U2" s="2596"/>
      <c r="V2" s="2596"/>
      <c r="W2" s="2596"/>
      <c r="X2" s="2596"/>
      <c r="Y2" s="2596"/>
      <c r="Z2" s="2597"/>
      <c r="AA2" s="2595" t="s">
        <v>262</v>
      </c>
      <c r="AB2" s="2596"/>
      <c r="AC2" s="2596"/>
      <c r="AD2" s="2596"/>
      <c r="AE2" s="2596"/>
      <c r="AF2" s="2596"/>
      <c r="AG2" s="2596"/>
      <c r="AH2" s="2596"/>
      <c r="AI2" s="2596"/>
      <c r="AJ2" s="2596"/>
      <c r="AK2" s="2596"/>
      <c r="AL2" s="2596"/>
      <c r="AM2" s="2596"/>
      <c r="AN2" s="2596"/>
      <c r="AO2" s="2596"/>
      <c r="AP2" s="2596"/>
      <c r="AQ2" s="2596"/>
      <c r="AR2" s="2596"/>
      <c r="AS2" s="2596"/>
      <c r="AT2" s="2596"/>
      <c r="AU2" s="2596"/>
      <c r="AV2" s="2596"/>
      <c r="AW2" s="2596"/>
      <c r="AX2" s="2596"/>
      <c r="AY2" s="2596"/>
      <c r="AZ2" s="2597"/>
      <c r="BB2" s="629" t="s">
        <v>2942</v>
      </c>
      <c r="BC2" s="53">
        <v>1</v>
      </c>
      <c r="BE2" s="2607" t="s">
        <v>1885</v>
      </c>
      <c r="BF2" s="2608"/>
    </row>
    <row r="3" spans="1:58" ht="14.25" customHeight="1">
      <c r="A3" s="2598"/>
      <c r="B3" s="2599"/>
      <c r="C3" s="2599"/>
      <c r="D3" s="2599"/>
      <c r="E3" s="2599"/>
      <c r="F3" s="2599"/>
      <c r="G3" s="2599"/>
      <c r="H3" s="2599"/>
      <c r="I3" s="2599"/>
      <c r="J3" s="2599"/>
      <c r="K3" s="2599"/>
      <c r="L3" s="2599"/>
      <c r="M3" s="2599"/>
      <c r="N3" s="2599"/>
      <c r="O3" s="2599"/>
      <c r="P3" s="2599"/>
      <c r="Q3" s="2599"/>
      <c r="R3" s="2599"/>
      <c r="S3" s="2599"/>
      <c r="T3" s="2599"/>
      <c r="U3" s="2599"/>
      <c r="V3" s="2599"/>
      <c r="W3" s="2599"/>
      <c r="X3" s="2599"/>
      <c r="Y3" s="2599"/>
      <c r="Z3" s="2600"/>
      <c r="AA3" s="2598"/>
      <c r="AB3" s="2599"/>
      <c r="AC3" s="2599"/>
      <c r="AD3" s="2599"/>
      <c r="AE3" s="2599"/>
      <c r="AF3" s="2599"/>
      <c r="AG3" s="2599"/>
      <c r="AH3" s="2599"/>
      <c r="AI3" s="2599"/>
      <c r="AJ3" s="2599"/>
      <c r="AK3" s="2599"/>
      <c r="AL3" s="2599"/>
      <c r="AM3" s="2599"/>
      <c r="AN3" s="2599"/>
      <c r="AO3" s="2599"/>
      <c r="AP3" s="2599"/>
      <c r="AQ3" s="2599"/>
      <c r="AR3" s="2599"/>
      <c r="AS3" s="2599"/>
      <c r="AT3" s="2599"/>
      <c r="AU3" s="2599"/>
      <c r="AV3" s="2599"/>
      <c r="AW3" s="2599"/>
      <c r="AX3" s="2599"/>
      <c r="AY3" s="2599"/>
      <c r="AZ3" s="2600"/>
      <c r="BB3" s="629" t="s">
        <v>2964</v>
      </c>
      <c r="BC3" s="53">
        <v>2</v>
      </c>
      <c r="BE3" s="335" t="s">
        <v>1879</v>
      </c>
      <c r="BF3" s="334" t="str">
        <f>IF(COUNTIF(L40:P51,"*準*"),"●","")</f>
        <v/>
      </c>
    </row>
    <row r="4" spans="1:58" ht="28.5" customHeight="1">
      <c r="A4" s="630"/>
      <c r="B4" s="631"/>
      <c r="C4" s="631"/>
      <c r="D4" s="631"/>
      <c r="E4" s="631"/>
      <c r="F4" s="631"/>
      <c r="G4" s="631"/>
      <c r="H4" s="631"/>
      <c r="I4" s="631"/>
      <c r="J4" s="631"/>
      <c r="K4" s="631"/>
      <c r="L4" s="631"/>
      <c r="M4" s="631"/>
      <c r="N4" s="631"/>
      <c r="O4" s="631"/>
      <c r="P4" s="631"/>
      <c r="Q4" s="631"/>
      <c r="R4" s="2606"/>
      <c r="S4" s="2606"/>
      <c r="T4" s="2606"/>
      <c r="U4" s="632" t="s">
        <v>18</v>
      </c>
      <c r="V4" s="802"/>
      <c r="W4" s="632" t="s">
        <v>17</v>
      </c>
      <c r="X4" s="802"/>
      <c r="Y4" s="632" t="s">
        <v>162</v>
      </c>
      <c r="Z4" s="633"/>
      <c r="AA4" s="2604" t="s">
        <v>2942</v>
      </c>
      <c r="AB4" s="2605"/>
      <c r="AC4" s="2605"/>
      <c r="AD4" s="2605"/>
      <c r="AE4" s="2605"/>
      <c r="AF4" s="2605"/>
      <c r="AG4" s="2605"/>
      <c r="AH4" s="2605"/>
      <c r="AI4" s="2605"/>
      <c r="AJ4" s="2605"/>
      <c r="AK4" s="2605"/>
      <c r="AL4" s="2605"/>
      <c r="AM4" s="2605"/>
      <c r="AN4" s="2605"/>
      <c r="AO4" s="2605"/>
      <c r="AP4" s="2605"/>
      <c r="AQ4" s="2605"/>
      <c r="AR4" s="2605"/>
      <c r="AS4" s="2605"/>
      <c r="AT4" s="2605"/>
      <c r="AU4" s="655" t="s">
        <v>18</v>
      </c>
      <c r="AV4" s="708">
        <v>9</v>
      </c>
      <c r="AW4" s="655" t="s">
        <v>17</v>
      </c>
      <c r="AX4" s="708">
        <v>8</v>
      </c>
      <c r="AY4" s="655" t="s">
        <v>162</v>
      </c>
      <c r="AZ4" s="657"/>
      <c r="BB4" s="629"/>
      <c r="BC4" s="53">
        <v>3</v>
      </c>
      <c r="BE4" s="335" t="s">
        <v>1880</v>
      </c>
      <c r="BF4" s="334" t="str">
        <f>IF(COUNTIF(L40:P51,"*特*"),"●","")</f>
        <v/>
      </c>
    </row>
    <row r="5" spans="1:58" ht="14.25" customHeight="1">
      <c r="A5" s="2598"/>
      <c r="B5" s="2599"/>
      <c r="C5" s="2599"/>
      <c r="D5" s="2599"/>
      <c r="E5" s="2599"/>
      <c r="F5" s="2599"/>
      <c r="G5" s="2599"/>
      <c r="H5" s="2599"/>
      <c r="I5" s="2599"/>
      <c r="J5" s="2599"/>
      <c r="K5" s="2599"/>
      <c r="L5" s="2599"/>
      <c r="M5" s="2599"/>
      <c r="N5" s="2599"/>
      <c r="O5" s="2599"/>
      <c r="P5" s="2599"/>
      <c r="Q5" s="2599"/>
      <c r="R5" s="2599"/>
      <c r="S5" s="2599"/>
      <c r="T5" s="2599"/>
      <c r="U5" s="2599"/>
      <c r="V5" s="2599"/>
      <c r="W5" s="2599"/>
      <c r="X5" s="2599"/>
      <c r="Y5" s="2599"/>
      <c r="Z5" s="2600"/>
      <c r="AA5" s="2598"/>
      <c r="AB5" s="2599"/>
      <c r="AC5" s="2599"/>
      <c r="AD5" s="2599"/>
      <c r="AE5" s="2599"/>
      <c r="AF5" s="2599"/>
      <c r="AG5" s="2599"/>
      <c r="AH5" s="2599"/>
      <c r="AI5" s="2599"/>
      <c r="AJ5" s="2599"/>
      <c r="AK5" s="2599"/>
      <c r="AL5" s="2599"/>
      <c r="AM5" s="2599"/>
      <c r="AN5" s="2599"/>
      <c r="AO5" s="2599"/>
      <c r="AP5" s="2599"/>
      <c r="AQ5" s="2599"/>
      <c r="AR5" s="2599"/>
      <c r="AS5" s="2599"/>
      <c r="AT5" s="2599"/>
      <c r="AU5" s="2599"/>
      <c r="AV5" s="2599"/>
      <c r="AW5" s="2599"/>
      <c r="AX5" s="2599"/>
      <c r="AY5" s="2599"/>
      <c r="AZ5" s="2600"/>
      <c r="BB5" s="629"/>
      <c r="BC5" s="53">
        <v>4</v>
      </c>
      <c r="BE5" s="335" t="s">
        <v>1881</v>
      </c>
      <c r="BF5" s="334" t="str">
        <f>IF(COUNTIF(L40:P51,"*身*"),"●","")</f>
        <v/>
      </c>
    </row>
    <row r="6" spans="1:58" ht="14.25" customHeight="1">
      <c r="A6" s="2601" t="s">
        <v>263</v>
      </c>
      <c r="B6" s="2602"/>
      <c r="C6" s="2602"/>
      <c r="D6" s="2602"/>
      <c r="E6" s="2602"/>
      <c r="F6" s="2602"/>
      <c r="G6" s="2602"/>
      <c r="H6" s="2602"/>
      <c r="I6" s="2602"/>
      <c r="J6" s="2602"/>
      <c r="K6" s="2602"/>
      <c r="L6" s="2602"/>
      <c r="M6" s="2602"/>
      <c r="N6" s="2602"/>
      <c r="O6" s="2602"/>
      <c r="P6" s="2602"/>
      <c r="Q6" s="2602"/>
      <c r="R6" s="2602"/>
      <c r="S6" s="2602"/>
      <c r="T6" s="2602"/>
      <c r="U6" s="2602"/>
      <c r="V6" s="2602"/>
      <c r="W6" s="2602"/>
      <c r="X6" s="2602"/>
      <c r="Y6" s="2602"/>
      <c r="Z6" s="2603"/>
      <c r="AA6" s="2601" t="s">
        <v>3120</v>
      </c>
      <c r="AB6" s="2602"/>
      <c r="AC6" s="2602"/>
      <c r="AD6" s="2602"/>
      <c r="AE6" s="2602"/>
      <c r="AF6" s="2602"/>
      <c r="AG6" s="2602"/>
      <c r="AH6" s="2602"/>
      <c r="AI6" s="2602"/>
      <c r="AJ6" s="2602"/>
      <c r="AK6" s="2602"/>
      <c r="AL6" s="2602"/>
      <c r="AM6" s="2602"/>
      <c r="AN6" s="2602"/>
      <c r="AO6" s="2602"/>
      <c r="AP6" s="2602"/>
      <c r="AQ6" s="2602"/>
      <c r="AR6" s="2602"/>
      <c r="AS6" s="2602"/>
      <c r="AT6" s="2602"/>
      <c r="AU6" s="2602"/>
      <c r="AV6" s="2602"/>
      <c r="AW6" s="2602"/>
      <c r="AX6" s="2602"/>
      <c r="AY6" s="2602"/>
      <c r="AZ6" s="2603"/>
      <c r="BB6" s="629"/>
      <c r="BC6" s="77">
        <v>5</v>
      </c>
      <c r="BE6" s="335" t="s">
        <v>1882</v>
      </c>
      <c r="BF6" s="334" t="str">
        <f>IF(COUNTIF(L40:P51,"*療*"),"●","")</f>
        <v/>
      </c>
    </row>
    <row r="7" spans="1:58" ht="14.25" customHeight="1">
      <c r="A7" s="2601" t="s">
        <v>264</v>
      </c>
      <c r="B7" s="2602"/>
      <c r="C7" s="2602"/>
      <c r="D7" s="2602"/>
      <c r="E7" s="2602"/>
      <c r="F7" s="2602"/>
      <c r="G7" s="2602"/>
      <c r="H7" s="2602"/>
      <c r="I7" s="2602"/>
      <c r="J7" s="2602"/>
      <c r="K7" s="2602"/>
      <c r="L7" s="2602"/>
      <c r="M7" s="2602"/>
      <c r="N7" s="2602"/>
      <c r="O7" s="2602"/>
      <c r="P7" s="2602"/>
      <c r="Q7" s="2602"/>
      <c r="R7" s="2602"/>
      <c r="S7" s="2602"/>
      <c r="T7" s="2602"/>
      <c r="U7" s="2602"/>
      <c r="V7" s="2602"/>
      <c r="W7" s="2602"/>
      <c r="X7" s="2602"/>
      <c r="Y7" s="2602"/>
      <c r="Z7" s="2603"/>
      <c r="AA7" s="2601" t="s">
        <v>264</v>
      </c>
      <c r="AB7" s="2602"/>
      <c r="AC7" s="2602"/>
      <c r="AD7" s="2602"/>
      <c r="AE7" s="2602"/>
      <c r="AF7" s="2602"/>
      <c r="AG7" s="2602"/>
      <c r="AH7" s="2602"/>
      <c r="AI7" s="2602"/>
      <c r="AJ7" s="2602"/>
      <c r="AK7" s="2602"/>
      <c r="AL7" s="2602"/>
      <c r="AM7" s="2602"/>
      <c r="AN7" s="2602"/>
      <c r="AO7" s="2602"/>
      <c r="AP7" s="2602"/>
      <c r="AQ7" s="2602"/>
      <c r="AR7" s="2602"/>
      <c r="AS7" s="2602"/>
      <c r="AT7" s="2602"/>
      <c r="AU7" s="2602"/>
      <c r="AV7" s="2602"/>
      <c r="AW7" s="2602"/>
      <c r="AX7" s="2602"/>
      <c r="AY7" s="2602"/>
      <c r="AZ7" s="2603"/>
      <c r="BC7" s="77">
        <v>6</v>
      </c>
      <c r="BE7" s="336" t="s">
        <v>1883</v>
      </c>
      <c r="BF7" s="334" t="str">
        <f>IF(COUNTIF(L40:P51,"*精*"),"●","")</f>
        <v/>
      </c>
    </row>
    <row r="8" spans="1:58" ht="14.25" customHeight="1">
      <c r="A8" s="2601" t="s">
        <v>265</v>
      </c>
      <c r="B8" s="2602"/>
      <c r="C8" s="2602"/>
      <c r="D8" s="2602"/>
      <c r="E8" s="2602"/>
      <c r="F8" s="2602"/>
      <c r="G8" s="2602"/>
      <c r="H8" s="2602"/>
      <c r="I8" s="2602"/>
      <c r="J8" s="2602"/>
      <c r="K8" s="2602"/>
      <c r="L8" s="2602"/>
      <c r="M8" s="2602"/>
      <c r="N8" s="2602"/>
      <c r="O8" s="2602"/>
      <c r="P8" s="2602"/>
      <c r="Q8" s="2602"/>
      <c r="R8" s="2602"/>
      <c r="S8" s="2602"/>
      <c r="T8" s="2602"/>
      <c r="U8" s="2602"/>
      <c r="V8" s="2602"/>
      <c r="W8" s="2602"/>
      <c r="X8" s="2602"/>
      <c r="Y8" s="2602"/>
      <c r="Z8" s="2603"/>
      <c r="AA8" s="2601" t="s">
        <v>265</v>
      </c>
      <c r="AB8" s="2602"/>
      <c r="AC8" s="2602"/>
      <c r="AD8" s="2602"/>
      <c r="AE8" s="2602"/>
      <c r="AF8" s="2602"/>
      <c r="AG8" s="2602"/>
      <c r="AH8" s="2602"/>
      <c r="AI8" s="2602"/>
      <c r="AJ8" s="2602"/>
      <c r="AK8" s="2602"/>
      <c r="AL8" s="2602"/>
      <c r="AM8" s="2602"/>
      <c r="AN8" s="2602"/>
      <c r="AO8" s="2602"/>
      <c r="AP8" s="2602"/>
      <c r="AQ8" s="2602"/>
      <c r="AR8" s="2602"/>
      <c r="AS8" s="2602"/>
      <c r="AT8" s="2602"/>
      <c r="AU8" s="2602"/>
      <c r="AV8" s="2602"/>
      <c r="AW8" s="2602"/>
      <c r="AX8" s="2602"/>
      <c r="AY8" s="2602"/>
      <c r="AZ8" s="2603"/>
      <c r="BC8" s="77">
        <v>7</v>
      </c>
      <c r="BE8" s="336" t="s">
        <v>1884</v>
      </c>
      <c r="BF8" s="334" t="str">
        <f>IF(COUNTIF(L40:P51,"*介添*"),"●","")</f>
        <v/>
      </c>
    </row>
    <row r="9" spans="1:58" ht="14.25" customHeight="1">
      <c r="A9" s="2601" t="s">
        <v>511</v>
      </c>
      <c r="B9" s="2602"/>
      <c r="C9" s="2602"/>
      <c r="D9" s="2602"/>
      <c r="E9" s="2602"/>
      <c r="F9" s="2602"/>
      <c r="G9" s="2602"/>
      <c r="H9" s="2602"/>
      <c r="I9" s="2602"/>
      <c r="J9" s="2602"/>
      <c r="K9" s="2602"/>
      <c r="L9" s="2602"/>
      <c r="M9" s="2602"/>
      <c r="N9" s="2602"/>
      <c r="O9" s="2602"/>
      <c r="P9" s="2602"/>
      <c r="Q9" s="2602"/>
      <c r="R9" s="2602"/>
      <c r="S9" s="2602"/>
      <c r="T9" s="2602"/>
      <c r="U9" s="2602"/>
      <c r="V9" s="2602"/>
      <c r="W9" s="2602"/>
      <c r="X9" s="2602"/>
      <c r="Y9" s="2602"/>
      <c r="Z9" s="2603"/>
      <c r="AA9" s="2601" t="s">
        <v>266</v>
      </c>
      <c r="AB9" s="2602"/>
      <c r="AC9" s="2602"/>
      <c r="AD9" s="2602"/>
      <c r="AE9" s="2602"/>
      <c r="AF9" s="2602"/>
      <c r="AG9" s="2602"/>
      <c r="AH9" s="2602"/>
      <c r="AI9" s="2602"/>
      <c r="AJ9" s="2602"/>
      <c r="AK9" s="2602"/>
      <c r="AL9" s="2602"/>
      <c r="AM9" s="2602"/>
      <c r="AN9" s="2602"/>
      <c r="AO9" s="2602"/>
      <c r="AP9" s="2602"/>
      <c r="AQ9" s="2602"/>
      <c r="AR9" s="2602"/>
      <c r="AS9" s="2602"/>
      <c r="AT9" s="2602"/>
      <c r="AU9" s="2602"/>
      <c r="AV9" s="2602"/>
      <c r="AW9" s="2602"/>
      <c r="AX9" s="2602"/>
      <c r="AY9" s="2602"/>
      <c r="AZ9" s="2603"/>
      <c r="BC9" s="77">
        <v>8</v>
      </c>
    </row>
    <row r="10" spans="1:58" ht="14.25" customHeight="1">
      <c r="A10" s="2601"/>
      <c r="B10" s="2602"/>
      <c r="C10" s="2602"/>
      <c r="D10" s="2602"/>
      <c r="E10" s="2602"/>
      <c r="F10" s="2602"/>
      <c r="G10" s="2602"/>
      <c r="H10" s="2602"/>
      <c r="I10" s="2602"/>
      <c r="J10" s="2602"/>
      <c r="K10" s="2602"/>
      <c r="L10" s="2602"/>
      <c r="M10" s="2602"/>
      <c r="N10" s="2602"/>
      <c r="O10" s="2602"/>
      <c r="P10" s="2602"/>
      <c r="Q10" s="2602"/>
      <c r="R10" s="2602"/>
      <c r="S10" s="2602"/>
      <c r="T10" s="2602"/>
      <c r="U10" s="2602"/>
      <c r="V10" s="2602"/>
      <c r="W10" s="2602"/>
      <c r="X10" s="2602"/>
      <c r="Y10" s="2602"/>
      <c r="Z10" s="2603"/>
      <c r="AA10" s="2601"/>
      <c r="AB10" s="2602"/>
      <c r="AC10" s="2602"/>
      <c r="AD10" s="2602"/>
      <c r="AE10" s="2602"/>
      <c r="AF10" s="2602"/>
      <c r="AG10" s="2602"/>
      <c r="AH10" s="2602"/>
      <c r="AI10" s="2602"/>
      <c r="AJ10" s="2602"/>
      <c r="AK10" s="2602"/>
      <c r="AL10" s="2602"/>
      <c r="AM10" s="2602"/>
      <c r="AN10" s="2602"/>
      <c r="AO10" s="2602"/>
      <c r="AP10" s="2602"/>
      <c r="AQ10" s="2602"/>
      <c r="AR10" s="2602"/>
      <c r="AS10" s="2602"/>
      <c r="AT10" s="2602"/>
      <c r="AU10" s="2602"/>
      <c r="AV10" s="2602"/>
      <c r="AW10" s="2602"/>
      <c r="AX10" s="2602"/>
      <c r="AY10" s="2602"/>
      <c r="AZ10" s="2603"/>
      <c r="BC10" s="77">
        <v>9</v>
      </c>
    </row>
    <row r="11" spans="1:58" ht="28.5" customHeight="1">
      <c r="A11" s="630"/>
      <c r="B11" s="631"/>
      <c r="C11" s="631"/>
      <c r="D11" s="631"/>
      <c r="E11" s="631"/>
      <c r="F11" s="552"/>
      <c r="G11" s="552"/>
      <c r="H11" s="552"/>
      <c r="I11" s="552"/>
      <c r="J11" s="552"/>
      <c r="K11" s="2599" t="s">
        <v>163</v>
      </c>
      <c r="L11" s="2599"/>
      <c r="M11" s="2599"/>
      <c r="N11" s="2616" t="str">
        <f>CONCATENATE('01 使用承認申請書'!D4)</f>
        <v/>
      </c>
      <c r="O11" s="2616"/>
      <c r="P11" s="2616"/>
      <c r="Q11" s="2616"/>
      <c r="R11" s="2616"/>
      <c r="S11" s="2616"/>
      <c r="T11" s="2616"/>
      <c r="U11" s="2616"/>
      <c r="V11" s="2616"/>
      <c r="W11" s="2616"/>
      <c r="X11" s="2616"/>
      <c r="Y11" s="2616"/>
      <c r="Z11" s="2617"/>
      <c r="AA11" s="630"/>
      <c r="AB11" s="631"/>
      <c r="AC11" s="631"/>
      <c r="AD11" s="631"/>
      <c r="AE11" s="631"/>
      <c r="AF11" s="631"/>
      <c r="AG11" s="631"/>
      <c r="AH11" s="631"/>
      <c r="AI11" s="631"/>
      <c r="AJ11" s="631"/>
      <c r="AK11" s="2599" t="s">
        <v>163</v>
      </c>
      <c r="AL11" s="2599"/>
      <c r="AM11" s="2599"/>
      <c r="AN11" s="2599"/>
      <c r="AO11" s="2599"/>
      <c r="AP11" s="2613" t="s">
        <v>2996</v>
      </c>
      <c r="AQ11" s="2614"/>
      <c r="AR11" s="2614"/>
      <c r="AS11" s="2614"/>
      <c r="AT11" s="2614"/>
      <c r="AU11" s="2614"/>
      <c r="AV11" s="2614"/>
      <c r="AW11" s="2614"/>
      <c r="AX11" s="2614"/>
      <c r="AY11" s="2614"/>
      <c r="AZ11" s="2615"/>
      <c r="BC11" s="77">
        <v>10</v>
      </c>
    </row>
    <row r="12" spans="1:58" ht="28.5" customHeight="1">
      <c r="A12" s="630"/>
      <c r="B12" s="631"/>
      <c r="C12" s="631"/>
      <c r="D12" s="631"/>
      <c r="E12" s="631"/>
      <c r="F12" s="552"/>
      <c r="G12" s="552"/>
      <c r="H12" s="552"/>
      <c r="I12" s="552"/>
      <c r="J12" s="552"/>
      <c r="K12" s="2599" t="s">
        <v>267</v>
      </c>
      <c r="L12" s="2599"/>
      <c r="M12" s="2599"/>
      <c r="N12" s="2616" t="str">
        <f>CONCATENATE('01 使用承認申請書'!S6)</f>
        <v/>
      </c>
      <c r="O12" s="2616"/>
      <c r="P12" s="2616"/>
      <c r="Q12" s="2616"/>
      <c r="R12" s="2616"/>
      <c r="S12" s="2616"/>
      <c r="T12" s="2616"/>
      <c r="U12" s="2616"/>
      <c r="V12" s="2616"/>
      <c r="W12" s="2616"/>
      <c r="X12" s="2616"/>
      <c r="Y12" s="2616"/>
      <c r="Z12" s="2617"/>
      <c r="AA12" s="630"/>
      <c r="AB12" s="631"/>
      <c r="AC12" s="631"/>
      <c r="AD12" s="631"/>
      <c r="AE12" s="631"/>
      <c r="AF12" s="631"/>
      <c r="AG12" s="631"/>
      <c r="AH12" s="631"/>
      <c r="AI12" s="631"/>
      <c r="AJ12" s="631"/>
      <c r="AK12" s="2599" t="s">
        <v>267</v>
      </c>
      <c r="AL12" s="2599"/>
      <c r="AM12" s="2599"/>
      <c r="AN12" s="2599"/>
      <c r="AO12" s="2599"/>
      <c r="AP12" s="2613" t="s">
        <v>164</v>
      </c>
      <c r="AQ12" s="2613"/>
      <c r="AR12" s="2613"/>
      <c r="AS12" s="2613"/>
      <c r="AT12" s="2613"/>
      <c r="AU12" s="2613"/>
      <c r="AV12" s="2613"/>
      <c r="AW12" s="2613"/>
      <c r="AX12" s="2613"/>
      <c r="AY12" s="2613"/>
      <c r="AZ12" s="2618"/>
      <c r="BC12" s="77">
        <v>11</v>
      </c>
    </row>
    <row r="13" spans="1:58" ht="28.5" customHeight="1">
      <c r="A13" s="630"/>
      <c r="B13" s="631"/>
      <c r="C13" s="631"/>
      <c r="D13" s="631"/>
      <c r="E13" s="631"/>
      <c r="F13" s="552"/>
      <c r="G13" s="552"/>
      <c r="H13" s="552"/>
      <c r="I13" s="552"/>
      <c r="J13" s="552"/>
      <c r="K13" s="2599" t="s">
        <v>268</v>
      </c>
      <c r="L13" s="2599"/>
      <c r="M13" s="2599"/>
      <c r="N13" s="2616" t="str">
        <f>'01 使用承認申請書'!$E$8&amp;'01 使用承認申請書'!$R$8</f>
        <v/>
      </c>
      <c r="O13" s="2616"/>
      <c r="P13" s="2616"/>
      <c r="Q13" s="2616"/>
      <c r="R13" s="2616"/>
      <c r="S13" s="2616"/>
      <c r="T13" s="2616"/>
      <c r="U13" s="2616"/>
      <c r="V13" s="2616"/>
      <c r="W13" s="2616"/>
      <c r="X13" s="2616"/>
      <c r="Y13" s="2616"/>
      <c r="Z13" s="2617"/>
      <c r="AA13" s="630"/>
      <c r="AB13" s="631"/>
      <c r="AC13" s="631"/>
      <c r="AD13" s="631"/>
      <c r="AE13" s="631"/>
      <c r="AF13" s="631"/>
      <c r="AG13" s="631"/>
      <c r="AH13" s="631"/>
      <c r="AI13" s="631"/>
      <c r="AJ13" s="631"/>
      <c r="AK13" s="2599" t="s">
        <v>268</v>
      </c>
      <c r="AL13" s="2599"/>
      <c r="AM13" s="2599"/>
      <c r="AN13" s="2599"/>
      <c r="AO13" s="2599"/>
      <c r="AP13" s="2613" t="s">
        <v>63</v>
      </c>
      <c r="AQ13" s="2613"/>
      <c r="AR13" s="2613"/>
      <c r="AS13" s="2613"/>
      <c r="AT13" s="2613"/>
      <c r="AU13" s="2613"/>
      <c r="AV13" s="2613"/>
      <c r="AW13" s="2613"/>
      <c r="AX13" s="2613"/>
      <c r="AY13" s="2613"/>
      <c r="AZ13" s="2618"/>
      <c r="BC13" s="77">
        <v>12</v>
      </c>
    </row>
    <row r="14" spans="1:58" ht="28.5" customHeight="1">
      <c r="A14" s="630"/>
      <c r="B14" s="631"/>
      <c r="C14" s="631"/>
      <c r="D14" s="631"/>
      <c r="E14" s="631"/>
      <c r="F14" s="552"/>
      <c r="G14" s="552"/>
      <c r="H14" s="552"/>
      <c r="I14" s="552"/>
      <c r="J14" s="552"/>
      <c r="K14" s="2599" t="s">
        <v>269</v>
      </c>
      <c r="L14" s="2599"/>
      <c r="M14" s="2599"/>
      <c r="N14" s="2619" t="str">
        <f>CONCATENATE('01 使用承認申請書'!D9)</f>
        <v/>
      </c>
      <c r="O14" s="2619"/>
      <c r="P14" s="2619"/>
      <c r="Q14" s="2619"/>
      <c r="R14" s="2619"/>
      <c r="S14" s="2619"/>
      <c r="T14" s="2619"/>
      <c r="U14" s="2619"/>
      <c r="V14" s="2619"/>
      <c r="W14" s="2619"/>
      <c r="X14" s="2619"/>
      <c r="Y14" s="2619"/>
      <c r="Z14" s="2620"/>
      <c r="AA14" s="630"/>
      <c r="AB14" s="631"/>
      <c r="AC14" s="631"/>
      <c r="AD14" s="631"/>
      <c r="AE14" s="631"/>
      <c r="AF14" s="631"/>
      <c r="AG14" s="631"/>
      <c r="AH14" s="631"/>
      <c r="AI14" s="631"/>
      <c r="AJ14" s="631"/>
      <c r="AK14" s="2599" t="s">
        <v>269</v>
      </c>
      <c r="AL14" s="2599"/>
      <c r="AM14" s="2599"/>
      <c r="AN14" s="2599"/>
      <c r="AO14" s="2599"/>
      <c r="AP14" s="2612" t="s">
        <v>2821</v>
      </c>
      <c r="AQ14" s="2612"/>
      <c r="AR14" s="2612"/>
      <c r="AS14" s="2612"/>
      <c r="AT14" s="2612"/>
      <c r="AU14" s="2612"/>
      <c r="AV14" s="2612"/>
      <c r="AW14" s="2612"/>
      <c r="AX14" s="2612"/>
      <c r="AY14" s="2612"/>
      <c r="AZ14" s="658"/>
      <c r="BC14" s="77">
        <v>13</v>
      </c>
    </row>
    <row r="15" spans="1:58" ht="14.25" customHeight="1">
      <c r="A15" s="2601"/>
      <c r="B15" s="2602"/>
      <c r="C15" s="2602"/>
      <c r="D15" s="2602"/>
      <c r="E15" s="2602"/>
      <c r="F15" s="2602"/>
      <c r="G15" s="2602"/>
      <c r="H15" s="2602"/>
      <c r="I15" s="2602"/>
      <c r="J15" s="2602"/>
      <c r="K15" s="2602"/>
      <c r="L15" s="2602"/>
      <c r="M15" s="2602"/>
      <c r="N15" s="2602"/>
      <c r="O15" s="2602"/>
      <c r="P15" s="2602"/>
      <c r="Q15" s="2602"/>
      <c r="R15" s="2602"/>
      <c r="S15" s="2602"/>
      <c r="T15" s="2602"/>
      <c r="U15" s="2602"/>
      <c r="V15" s="2602"/>
      <c r="W15" s="2602"/>
      <c r="X15" s="2602"/>
      <c r="Y15" s="2602"/>
      <c r="Z15" s="2603"/>
      <c r="AA15" s="2601"/>
      <c r="AB15" s="2602"/>
      <c r="AC15" s="2602"/>
      <c r="AD15" s="2602"/>
      <c r="AE15" s="2602"/>
      <c r="AF15" s="2602"/>
      <c r="AG15" s="2602"/>
      <c r="AH15" s="2602"/>
      <c r="AI15" s="2602"/>
      <c r="AJ15" s="2602"/>
      <c r="AK15" s="2602"/>
      <c r="AL15" s="2602"/>
      <c r="AM15" s="2602"/>
      <c r="AN15" s="2602"/>
      <c r="AO15" s="2602"/>
      <c r="AP15" s="2602"/>
      <c r="AQ15" s="2602"/>
      <c r="AR15" s="2602"/>
      <c r="AS15" s="2602"/>
      <c r="AT15" s="2602"/>
      <c r="AU15" s="2602"/>
      <c r="AV15" s="2602"/>
      <c r="AW15" s="2602"/>
      <c r="AX15" s="2602"/>
      <c r="AY15" s="2602"/>
      <c r="AZ15" s="2603"/>
      <c r="BC15" s="77">
        <v>14</v>
      </c>
    </row>
    <row r="16" spans="1:58" ht="14.25" customHeight="1">
      <c r="A16" s="2601" t="s">
        <v>270</v>
      </c>
      <c r="B16" s="2602"/>
      <c r="C16" s="2602"/>
      <c r="D16" s="2602"/>
      <c r="E16" s="2602"/>
      <c r="F16" s="2602"/>
      <c r="G16" s="2602"/>
      <c r="H16" s="2602"/>
      <c r="I16" s="2602"/>
      <c r="J16" s="2602"/>
      <c r="K16" s="2602"/>
      <c r="L16" s="2602"/>
      <c r="M16" s="2602"/>
      <c r="N16" s="2602"/>
      <c r="O16" s="2602"/>
      <c r="P16" s="2602"/>
      <c r="Q16" s="2602"/>
      <c r="R16" s="2602"/>
      <c r="S16" s="2602"/>
      <c r="T16" s="2602"/>
      <c r="U16" s="2602"/>
      <c r="V16" s="2602"/>
      <c r="W16" s="2602"/>
      <c r="X16" s="2602"/>
      <c r="Y16" s="2602"/>
      <c r="Z16" s="2603"/>
      <c r="AA16" s="2601" t="s">
        <v>270</v>
      </c>
      <c r="AB16" s="2602"/>
      <c r="AC16" s="2602"/>
      <c r="AD16" s="2602"/>
      <c r="AE16" s="2602"/>
      <c r="AF16" s="2602"/>
      <c r="AG16" s="2602"/>
      <c r="AH16" s="2602"/>
      <c r="AI16" s="2602"/>
      <c r="AJ16" s="2602"/>
      <c r="AK16" s="2602"/>
      <c r="AL16" s="2602"/>
      <c r="AM16" s="2602"/>
      <c r="AN16" s="2602"/>
      <c r="AO16" s="2602"/>
      <c r="AP16" s="2602"/>
      <c r="AQ16" s="2602"/>
      <c r="AR16" s="2602"/>
      <c r="AS16" s="2602"/>
      <c r="AT16" s="2602"/>
      <c r="AU16" s="2602"/>
      <c r="AV16" s="2602"/>
      <c r="AW16" s="2602"/>
      <c r="AX16" s="2602"/>
      <c r="AY16" s="2602"/>
      <c r="AZ16" s="2603"/>
      <c r="BC16" s="77">
        <v>15</v>
      </c>
    </row>
    <row r="17" spans="1:55" ht="14.25" customHeight="1">
      <c r="A17" s="2601" t="s">
        <v>271</v>
      </c>
      <c r="B17" s="2602"/>
      <c r="C17" s="2602"/>
      <c r="D17" s="2602"/>
      <c r="E17" s="2602"/>
      <c r="F17" s="2602"/>
      <c r="G17" s="2602"/>
      <c r="H17" s="2602"/>
      <c r="I17" s="2602"/>
      <c r="J17" s="2602"/>
      <c r="K17" s="2602"/>
      <c r="L17" s="2602"/>
      <c r="M17" s="2602"/>
      <c r="N17" s="2602"/>
      <c r="O17" s="2602"/>
      <c r="P17" s="2602"/>
      <c r="Q17" s="2602"/>
      <c r="R17" s="2602"/>
      <c r="S17" s="2602"/>
      <c r="T17" s="2602"/>
      <c r="U17" s="2602"/>
      <c r="V17" s="2602"/>
      <c r="W17" s="2602"/>
      <c r="X17" s="2602"/>
      <c r="Y17" s="2602"/>
      <c r="Z17" s="2603"/>
      <c r="AA17" s="2601" t="s">
        <v>271</v>
      </c>
      <c r="AB17" s="2602"/>
      <c r="AC17" s="2602"/>
      <c r="AD17" s="2602"/>
      <c r="AE17" s="2602"/>
      <c r="AF17" s="2602"/>
      <c r="AG17" s="2602"/>
      <c r="AH17" s="2602"/>
      <c r="AI17" s="2602"/>
      <c r="AJ17" s="2602"/>
      <c r="AK17" s="2602"/>
      <c r="AL17" s="2602"/>
      <c r="AM17" s="2602"/>
      <c r="AN17" s="2602"/>
      <c r="AO17" s="2602"/>
      <c r="AP17" s="2602"/>
      <c r="AQ17" s="2602"/>
      <c r="AR17" s="2602"/>
      <c r="AS17" s="2602"/>
      <c r="AT17" s="2602"/>
      <c r="AU17" s="2602"/>
      <c r="AV17" s="2602"/>
      <c r="AW17" s="2602"/>
      <c r="AX17" s="2602"/>
      <c r="AY17" s="2602"/>
      <c r="AZ17" s="2603"/>
      <c r="BC17" s="77">
        <v>16</v>
      </c>
    </row>
    <row r="18" spans="1:55" ht="14.25" customHeight="1">
      <c r="A18" s="2601"/>
      <c r="B18" s="2602"/>
      <c r="C18" s="2602"/>
      <c r="D18" s="2602"/>
      <c r="E18" s="2602"/>
      <c r="F18" s="2602"/>
      <c r="G18" s="2602"/>
      <c r="H18" s="2602"/>
      <c r="I18" s="2602"/>
      <c r="J18" s="2602"/>
      <c r="K18" s="2602"/>
      <c r="L18" s="2602"/>
      <c r="M18" s="2602"/>
      <c r="N18" s="2602"/>
      <c r="O18" s="2602"/>
      <c r="P18" s="2602"/>
      <c r="Q18" s="2602"/>
      <c r="R18" s="2602"/>
      <c r="S18" s="2602"/>
      <c r="T18" s="2602"/>
      <c r="U18" s="2602"/>
      <c r="V18" s="2602"/>
      <c r="W18" s="2602"/>
      <c r="X18" s="2602"/>
      <c r="Y18" s="2602"/>
      <c r="Z18" s="2603"/>
      <c r="AA18" s="2601"/>
      <c r="AB18" s="2602"/>
      <c r="AC18" s="2602"/>
      <c r="AD18" s="2602"/>
      <c r="AE18" s="2602"/>
      <c r="AF18" s="2602"/>
      <c r="AG18" s="2602"/>
      <c r="AH18" s="2602"/>
      <c r="AI18" s="2602"/>
      <c r="AJ18" s="2602"/>
      <c r="AK18" s="2602"/>
      <c r="AL18" s="2602"/>
      <c r="AM18" s="2602"/>
      <c r="AN18" s="2602"/>
      <c r="AO18" s="2602"/>
      <c r="AP18" s="2602"/>
      <c r="AQ18" s="2602"/>
      <c r="AR18" s="2602"/>
      <c r="AS18" s="2602"/>
      <c r="AT18" s="2602"/>
      <c r="AU18" s="2602"/>
      <c r="AV18" s="2602"/>
      <c r="AW18" s="2602"/>
      <c r="AX18" s="2602"/>
      <c r="AY18" s="2602"/>
      <c r="AZ18" s="2603"/>
      <c r="BC18" s="77">
        <v>17</v>
      </c>
    </row>
    <row r="19" spans="1:55" ht="26.1" customHeight="1">
      <c r="A19" s="630"/>
      <c r="B19" s="2609" t="s">
        <v>2817</v>
      </c>
      <c r="C19" s="2610"/>
      <c r="D19" s="2610"/>
      <c r="E19" s="2610"/>
      <c r="F19" s="2610"/>
      <c r="G19" s="2611"/>
      <c r="H19" s="2609"/>
      <c r="I19" s="2610"/>
      <c r="J19" s="2610"/>
      <c r="K19" s="634"/>
      <c r="L19" s="939"/>
      <c r="M19" s="634" t="str">
        <f>CONCATENATE('[1]01 使用承認申請書'!C14)</f>
        <v/>
      </c>
      <c r="N19" s="939" t="s">
        <v>17</v>
      </c>
      <c r="O19" s="634" t="str">
        <f>CONCATENATE('[1]01 使用承認申請書'!F14)</f>
        <v/>
      </c>
      <c r="P19" s="939" t="s">
        <v>16</v>
      </c>
      <c r="Q19" s="2627" t="s">
        <v>40</v>
      </c>
      <c r="R19" s="2627"/>
      <c r="S19" s="634" t="str">
        <f>CONCATENATE('[1]01 使用承認申請書'!C16)</f>
        <v/>
      </c>
      <c r="T19" s="939" t="s">
        <v>17</v>
      </c>
      <c r="U19" s="634" t="str">
        <f>CONCATENATE('[1]01 使用承認申請書'!F16)</f>
        <v/>
      </c>
      <c r="V19" s="939" t="s">
        <v>16</v>
      </c>
      <c r="W19" s="2610"/>
      <c r="X19" s="2610"/>
      <c r="Y19" s="2611"/>
      <c r="Z19" s="635"/>
      <c r="AA19" s="630"/>
      <c r="AB19" s="2609" t="s">
        <v>2817</v>
      </c>
      <c r="AC19" s="2610"/>
      <c r="AD19" s="2610"/>
      <c r="AE19" s="2610"/>
      <c r="AF19" s="2610"/>
      <c r="AG19" s="2611"/>
      <c r="AH19" s="2609"/>
      <c r="AI19" s="2610"/>
      <c r="AJ19" s="2610"/>
      <c r="AK19" s="634"/>
      <c r="AL19" s="939"/>
      <c r="AM19" s="634" t="str">
        <f>CONCATENATE('[1]01 使用承認申請書'!AC14)</f>
        <v>10</v>
      </c>
      <c r="AN19" s="939" t="s">
        <v>17</v>
      </c>
      <c r="AO19" s="634" t="str">
        <f>CONCATENATE('[1]01 使用承認申請書'!AF14)</f>
        <v>12</v>
      </c>
      <c r="AP19" s="939" t="s">
        <v>16</v>
      </c>
      <c r="AQ19" s="2627" t="s">
        <v>40</v>
      </c>
      <c r="AR19" s="2627"/>
      <c r="AS19" s="634" t="str">
        <f>CONCATENATE('[1]01 使用承認申請書'!AC16)</f>
        <v>10</v>
      </c>
      <c r="AT19" s="939" t="s">
        <v>17</v>
      </c>
      <c r="AU19" s="634" t="str">
        <f>CONCATENATE('[1]01 使用承認申請書'!AF16)</f>
        <v>13</v>
      </c>
      <c r="AV19" s="939" t="s">
        <v>16</v>
      </c>
      <c r="AW19" s="2610"/>
      <c r="AX19" s="2610"/>
      <c r="AY19" s="2611"/>
      <c r="AZ19" s="635"/>
      <c r="BC19" s="77">
        <v>18</v>
      </c>
    </row>
    <row r="20" spans="1:55" ht="26.1" customHeight="1">
      <c r="A20" s="630"/>
      <c r="B20" s="2609" t="s">
        <v>2818</v>
      </c>
      <c r="C20" s="2610"/>
      <c r="D20" s="2610"/>
      <c r="E20" s="2610"/>
      <c r="F20" s="2610"/>
      <c r="G20" s="2611"/>
      <c r="H20" s="2621"/>
      <c r="I20" s="2622"/>
      <c r="J20" s="2622"/>
      <c r="K20" s="2622"/>
      <c r="L20" s="2622"/>
      <c r="M20" s="2622"/>
      <c r="N20" s="2622"/>
      <c r="O20" s="2622"/>
      <c r="P20" s="2622"/>
      <c r="Q20" s="2622"/>
      <c r="R20" s="2622"/>
      <c r="S20" s="2622"/>
      <c r="T20" s="2622"/>
      <c r="U20" s="2622"/>
      <c r="V20" s="2622"/>
      <c r="W20" s="2622"/>
      <c r="X20" s="2622"/>
      <c r="Y20" s="2623"/>
      <c r="Z20" s="635"/>
      <c r="AA20" s="630"/>
      <c r="AB20" s="2609" t="s">
        <v>2818</v>
      </c>
      <c r="AC20" s="2610"/>
      <c r="AD20" s="2610"/>
      <c r="AE20" s="2610"/>
      <c r="AF20" s="2610"/>
      <c r="AG20" s="2611"/>
      <c r="AH20" s="2621"/>
      <c r="AI20" s="2622"/>
      <c r="AJ20" s="2622"/>
      <c r="AK20" s="2622"/>
      <c r="AL20" s="2622"/>
      <c r="AM20" s="2622"/>
      <c r="AN20" s="2622"/>
      <c r="AO20" s="2622"/>
      <c r="AP20" s="2622"/>
      <c r="AQ20" s="2622"/>
      <c r="AR20" s="2622"/>
      <c r="AS20" s="2622"/>
      <c r="AT20" s="2622"/>
      <c r="AU20" s="2622"/>
      <c r="AV20" s="2622"/>
      <c r="AW20" s="2622"/>
      <c r="AX20" s="2622"/>
      <c r="AY20" s="2623"/>
      <c r="AZ20" s="635"/>
      <c r="BC20" s="77">
        <v>19</v>
      </c>
    </row>
    <row r="21" spans="1:55" ht="26.1" customHeight="1">
      <c r="A21" s="630"/>
      <c r="B21" s="2609" t="s">
        <v>2819</v>
      </c>
      <c r="C21" s="2610"/>
      <c r="D21" s="2610"/>
      <c r="E21" s="2610"/>
      <c r="F21" s="2610"/>
      <c r="G21" s="2611"/>
      <c r="H21" s="2624"/>
      <c r="I21" s="2625"/>
      <c r="J21" s="2625"/>
      <c r="K21" s="2625"/>
      <c r="L21" s="2625"/>
      <c r="M21" s="2625"/>
      <c r="N21" s="2625"/>
      <c r="O21" s="2626"/>
      <c r="P21" s="2626"/>
      <c r="Q21" s="938" t="s">
        <v>37</v>
      </c>
      <c r="R21" s="2610"/>
      <c r="S21" s="2610"/>
      <c r="T21" s="2610"/>
      <c r="U21" s="2610"/>
      <c r="V21" s="2610"/>
      <c r="W21" s="2610"/>
      <c r="X21" s="2610"/>
      <c r="Y21" s="2611"/>
      <c r="Z21" s="635"/>
      <c r="AA21" s="630"/>
      <c r="AB21" s="2609" t="s">
        <v>2819</v>
      </c>
      <c r="AC21" s="2610"/>
      <c r="AD21" s="2610"/>
      <c r="AE21" s="2610"/>
      <c r="AF21" s="2610"/>
      <c r="AG21" s="2611"/>
      <c r="AH21" s="2624"/>
      <c r="AI21" s="2625"/>
      <c r="AJ21" s="2625"/>
      <c r="AK21" s="2625"/>
      <c r="AL21" s="2625"/>
      <c r="AM21" s="2625"/>
      <c r="AN21" s="2625"/>
      <c r="AO21" s="2626"/>
      <c r="AP21" s="2626"/>
      <c r="AQ21" s="938" t="s">
        <v>37</v>
      </c>
      <c r="AR21" s="2610"/>
      <c r="AS21" s="2610"/>
      <c r="AT21" s="2610"/>
      <c r="AU21" s="2610"/>
      <c r="AV21" s="2610"/>
      <c r="AW21" s="2610"/>
      <c r="AX21" s="2610"/>
      <c r="AY21" s="2611"/>
      <c r="AZ21" s="635"/>
      <c r="BC21" s="77">
        <v>20</v>
      </c>
    </row>
    <row r="22" spans="1:55" ht="26.1" customHeight="1">
      <c r="A22" s="630"/>
      <c r="B22" s="2589" t="s">
        <v>2820</v>
      </c>
      <c r="C22" s="2590"/>
      <c r="D22" s="2590"/>
      <c r="E22" s="2590"/>
      <c r="F22" s="2590"/>
      <c r="G22" s="2591"/>
      <c r="H22" s="1087"/>
      <c r="I22" s="2632" t="s">
        <v>3110</v>
      </c>
      <c r="J22" s="2632"/>
      <c r="K22" s="2632"/>
      <c r="L22" s="2632"/>
      <c r="M22" s="2632"/>
      <c r="N22" s="2632"/>
      <c r="O22" s="2632"/>
      <c r="P22" s="2632"/>
      <c r="Q22" s="2632"/>
      <c r="R22" s="2632"/>
      <c r="S22" s="2632"/>
      <c r="T22" s="2632"/>
      <c r="U22" s="2632"/>
      <c r="V22" s="2632"/>
      <c r="W22" s="2632"/>
      <c r="X22" s="2632"/>
      <c r="Y22" s="2633"/>
      <c r="Z22" s="636"/>
      <c r="AA22" s="630"/>
      <c r="AB22" s="2589" t="s">
        <v>2820</v>
      </c>
      <c r="AC22" s="2590"/>
      <c r="AD22" s="2590"/>
      <c r="AE22" s="2590"/>
      <c r="AF22" s="2590"/>
      <c r="AG22" s="2591"/>
      <c r="AH22" s="1087"/>
      <c r="AI22" s="2632" t="s">
        <v>3110</v>
      </c>
      <c r="AJ22" s="2632"/>
      <c r="AK22" s="2632"/>
      <c r="AL22" s="2632"/>
      <c r="AM22" s="2632"/>
      <c r="AN22" s="2632"/>
      <c r="AO22" s="2632"/>
      <c r="AP22" s="2632"/>
      <c r="AQ22" s="2632"/>
      <c r="AR22" s="2632"/>
      <c r="AS22" s="2632"/>
      <c r="AT22" s="2632"/>
      <c r="AU22" s="2632"/>
      <c r="AV22" s="2632"/>
      <c r="AW22" s="2632"/>
      <c r="AX22" s="2632"/>
      <c r="AY22" s="2633"/>
      <c r="AZ22" s="635"/>
      <c r="BC22" s="77">
        <v>21</v>
      </c>
    </row>
    <row r="23" spans="1:55" ht="26.1" customHeight="1">
      <c r="A23" s="630"/>
      <c r="B23" s="2598"/>
      <c r="C23" s="2628"/>
      <c r="D23" s="2628"/>
      <c r="E23" s="2628"/>
      <c r="F23" s="2628"/>
      <c r="G23" s="2600"/>
      <c r="H23" s="1087"/>
      <c r="I23" s="2632" t="s">
        <v>2799</v>
      </c>
      <c r="J23" s="2632"/>
      <c r="K23" s="2632"/>
      <c r="L23" s="2632"/>
      <c r="M23" s="2632"/>
      <c r="N23" s="2632"/>
      <c r="O23" s="2632"/>
      <c r="P23" s="2632"/>
      <c r="Q23" s="2632"/>
      <c r="R23" s="2632"/>
      <c r="S23" s="2632"/>
      <c r="T23" s="2632"/>
      <c r="U23" s="2632"/>
      <c r="V23" s="2632"/>
      <c r="W23" s="2632"/>
      <c r="X23" s="2632"/>
      <c r="Y23" s="2633"/>
      <c r="Z23" s="636"/>
      <c r="AA23" s="630"/>
      <c r="AB23" s="2598"/>
      <c r="AC23" s="2628"/>
      <c r="AD23" s="2628"/>
      <c r="AE23" s="2628"/>
      <c r="AF23" s="2628"/>
      <c r="AG23" s="2600"/>
      <c r="AH23" s="1087"/>
      <c r="AI23" s="2632" t="s">
        <v>2799</v>
      </c>
      <c r="AJ23" s="2632"/>
      <c r="AK23" s="2632"/>
      <c r="AL23" s="2632"/>
      <c r="AM23" s="2632"/>
      <c r="AN23" s="2632"/>
      <c r="AO23" s="2632"/>
      <c r="AP23" s="2632"/>
      <c r="AQ23" s="2632"/>
      <c r="AR23" s="2632"/>
      <c r="AS23" s="2632"/>
      <c r="AT23" s="2632"/>
      <c r="AU23" s="2632"/>
      <c r="AV23" s="2632"/>
      <c r="AW23" s="2632"/>
      <c r="AX23" s="2632"/>
      <c r="AY23" s="2633"/>
      <c r="AZ23" s="635"/>
      <c r="BC23" s="77">
        <v>22</v>
      </c>
    </row>
    <row r="24" spans="1:55" ht="26.1" customHeight="1">
      <c r="A24" s="630"/>
      <c r="B24" s="2598"/>
      <c r="C24" s="2628"/>
      <c r="D24" s="2628"/>
      <c r="E24" s="2628"/>
      <c r="F24" s="2628"/>
      <c r="G24" s="2600"/>
      <c r="H24" s="1087"/>
      <c r="I24" s="2632" t="s">
        <v>3111</v>
      </c>
      <c r="J24" s="2632"/>
      <c r="K24" s="2632"/>
      <c r="L24" s="2632"/>
      <c r="M24" s="2632"/>
      <c r="N24" s="2632"/>
      <c r="O24" s="2632"/>
      <c r="P24" s="2632"/>
      <c r="Q24" s="2632"/>
      <c r="R24" s="2632"/>
      <c r="S24" s="2632"/>
      <c r="T24" s="2632"/>
      <c r="U24" s="2632"/>
      <c r="V24" s="2632"/>
      <c r="W24" s="2632"/>
      <c r="X24" s="2632"/>
      <c r="Y24" s="2633"/>
      <c r="Z24" s="636"/>
      <c r="AA24" s="630"/>
      <c r="AB24" s="2598"/>
      <c r="AC24" s="2628"/>
      <c r="AD24" s="2628"/>
      <c r="AE24" s="2628"/>
      <c r="AF24" s="2628"/>
      <c r="AG24" s="2600"/>
      <c r="AH24" s="1087"/>
      <c r="AI24" s="2632" t="s">
        <v>3111</v>
      </c>
      <c r="AJ24" s="2632"/>
      <c r="AK24" s="2632"/>
      <c r="AL24" s="2632"/>
      <c r="AM24" s="2632"/>
      <c r="AN24" s="2632"/>
      <c r="AO24" s="2632"/>
      <c r="AP24" s="2632"/>
      <c r="AQ24" s="2632"/>
      <c r="AR24" s="2632"/>
      <c r="AS24" s="2632"/>
      <c r="AT24" s="2632"/>
      <c r="AU24" s="2632"/>
      <c r="AV24" s="2632"/>
      <c r="AW24" s="2632"/>
      <c r="AX24" s="2632"/>
      <c r="AY24" s="2633"/>
      <c r="AZ24" s="635"/>
      <c r="BC24" s="77">
        <v>23</v>
      </c>
    </row>
    <row r="25" spans="1:55" ht="26.1" customHeight="1">
      <c r="A25" s="630"/>
      <c r="B25" s="2598"/>
      <c r="C25" s="2628"/>
      <c r="D25" s="2628"/>
      <c r="E25" s="2628"/>
      <c r="F25" s="2628"/>
      <c r="G25" s="2600"/>
      <c r="H25" s="1087"/>
      <c r="I25" s="2632" t="s">
        <v>3112</v>
      </c>
      <c r="J25" s="2632"/>
      <c r="K25" s="2632"/>
      <c r="L25" s="2632"/>
      <c r="M25" s="2632"/>
      <c r="N25" s="2632"/>
      <c r="O25" s="2632"/>
      <c r="P25" s="2632"/>
      <c r="Q25" s="2632"/>
      <c r="R25" s="2632"/>
      <c r="S25" s="2632"/>
      <c r="T25" s="2632"/>
      <c r="U25" s="2632"/>
      <c r="V25" s="2632"/>
      <c r="W25" s="2632"/>
      <c r="X25" s="2632"/>
      <c r="Y25" s="2633"/>
      <c r="Z25" s="636"/>
      <c r="AA25" s="630"/>
      <c r="AB25" s="2598"/>
      <c r="AC25" s="2628"/>
      <c r="AD25" s="2628"/>
      <c r="AE25" s="2628"/>
      <c r="AF25" s="2628"/>
      <c r="AG25" s="2600"/>
      <c r="AH25" s="1087"/>
      <c r="AI25" s="2632" t="s">
        <v>3112</v>
      </c>
      <c r="AJ25" s="2632"/>
      <c r="AK25" s="2632"/>
      <c r="AL25" s="2632"/>
      <c r="AM25" s="2632"/>
      <c r="AN25" s="2632"/>
      <c r="AO25" s="2632"/>
      <c r="AP25" s="2632"/>
      <c r="AQ25" s="2632"/>
      <c r="AR25" s="2632"/>
      <c r="AS25" s="2632"/>
      <c r="AT25" s="2632"/>
      <c r="AU25" s="2632"/>
      <c r="AV25" s="2632"/>
      <c r="AW25" s="2632"/>
      <c r="AX25" s="2632"/>
      <c r="AY25" s="2633"/>
      <c r="AZ25" s="635"/>
      <c r="BC25" s="77">
        <v>24</v>
      </c>
    </row>
    <row r="26" spans="1:55" ht="26.1" customHeight="1">
      <c r="A26" s="630"/>
      <c r="B26" s="2598"/>
      <c r="C26" s="2628"/>
      <c r="D26" s="2628"/>
      <c r="E26" s="2628"/>
      <c r="F26" s="2628"/>
      <c r="G26" s="2600"/>
      <c r="H26" s="1087"/>
      <c r="I26" s="2632" t="s">
        <v>3113</v>
      </c>
      <c r="J26" s="2632"/>
      <c r="K26" s="2632"/>
      <c r="L26" s="2632"/>
      <c r="M26" s="2632"/>
      <c r="N26" s="2632"/>
      <c r="O26" s="2632"/>
      <c r="P26" s="2632"/>
      <c r="Q26" s="2632"/>
      <c r="R26" s="2632"/>
      <c r="S26" s="2632"/>
      <c r="T26" s="2632"/>
      <c r="U26" s="2632"/>
      <c r="V26" s="2632"/>
      <c r="W26" s="2632"/>
      <c r="X26" s="2632"/>
      <c r="Y26" s="2633"/>
      <c r="Z26" s="636"/>
      <c r="AA26" s="630"/>
      <c r="AB26" s="2598"/>
      <c r="AC26" s="2628"/>
      <c r="AD26" s="2628"/>
      <c r="AE26" s="2628"/>
      <c r="AF26" s="2628"/>
      <c r="AG26" s="2600"/>
      <c r="AH26" s="1087"/>
      <c r="AI26" s="2632" t="s">
        <v>3113</v>
      </c>
      <c r="AJ26" s="2632"/>
      <c r="AK26" s="2632"/>
      <c r="AL26" s="2632"/>
      <c r="AM26" s="2632"/>
      <c r="AN26" s="2632"/>
      <c r="AO26" s="2632"/>
      <c r="AP26" s="2632"/>
      <c r="AQ26" s="2632"/>
      <c r="AR26" s="2632"/>
      <c r="AS26" s="2632"/>
      <c r="AT26" s="2632"/>
      <c r="AU26" s="2632"/>
      <c r="AV26" s="2632"/>
      <c r="AW26" s="2632"/>
      <c r="AX26" s="2632"/>
      <c r="AY26" s="2633"/>
      <c r="AZ26" s="635"/>
      <c r="BC26" s="77">
        <v>25</v>
      </c>
    </row>
    <row r="27" spans="1:55" ht="26.1" customHeight="1">
      <c r="A27" s="630"/>
      <c r="B27" s="2598"/>
      <c r="C27" s="2628"/>
      <c r="D27" s="2628"/>
      <c r="E27" s="2628"/>
      <c r="F27" s="2628"/>
      <c r="G27" s="2600"/>
      <c r="H27" s="1087"/>
      <c r="I27" s="2632" t="s">
        <v>3114</v>
      </c>
      <c r="J27" s="2632"/>
      <c r="K27" s="2632"/>
      <c r="L27" s="2632"/>
      <c r="M27" s="2632"/>
      <c r="N27" s="2632"/>
      <c r="O27" s="2632"/>
      <c r="P27" s="2632"/>
      <c r="Q27" s="2632"/>
      <c r="R27" s="2632"/>
      <c r="S27" s="2632"/>
      <c r="T27" s="2632"/>
      <c r="U27" s="2632"/>
      <c r="V27" s="2632"/>
      <c r="W27" s="2632"/>
      <c r="X27" s="2632"/>
      <c r="Y27" s="2633"/>
      <c r="Z27" s="636"/>
      <c r="AA27" s="630"/>
      <c r="AB27" s="2598"/>
      <c r="AC27" s="2628"/>
      <c r="AD27" s="2628"/>
      <c r="AE27" s="2628"/>
      <c r="AF27" s="2628"/>
      <c r="AG27" s="2600"/>
      <c r="AH27" s="1087"/>
      <c r="AI27" s="2632" t="s">
        <v>3114</v>
      </c>
      <c r="AJ27" s="2632"/>
      <c r="AK27" s="2632"/>
      <c r="AL27" s="2632"/>
      <c r="AM27" s="2632"/>
      <c r="AN27" s="2632"/>
      <c r="AO27" s="2632"/>
      <c r="AP27" s="2632"/>
      <c r="AQ27" s="2632"/>
      <c r="AR27" s="2632"/>
      <c r="AS27" s="2632"/>
      <c r="AT27" s="2632"/>
      <c r="AU27" s="2632"/>
      <c r="AV27" s="2632"/>
      <c r="AW27" s="2632"/>
      <c r="AX27" s="2632"/>
      <c r="AY27" s="2633"/>
      <c r="AZ27" s="635"/>
      <c r="BC27" s="77">
        <v>26</v>
      </c>
    </row>
    <row r="28" spans="1:55" ht="26.1" customHeight="1">
      <c r="A28" s="649"/>
      <c r="B28" s="2598"/>
      <c r="C28" s="2628"/>
      <c r="D28" s="2628"/>
      <c r="E28" s="2628"/>
      <c r="F28" s="2628"/>
      <c r="G28" s="2600"/>
      <c r="H28" s="1087"/>
      <c r="I28" s="2632" t="s">
        <v>3115</v>
      </c>
      <c r="J28" s="2632"/>
      <c r="K28" s="2632"/>
      <c r="L28" s="2632"/>
      <c r="M28" s="2632"/>
      <c r="N28" s="2632"/>
      <c r="O28" s="2632"/>
      <c r="P28" s="2632"/>
      <c r="Q28" s="2632"/>
      <c r="R28" s="2632"/>
      <c r="S28" s="2632"/>
      <c r="T28" s="2632"/>
      <c r="U28" s="2632"/>
      <c r="V28" s="2632"/>
      <c r="W28" s="2632"/>
      <c r="X28" s="2632"/>
      <c r="Y28" s="2633"/>
      <c r="Z28" s="649"/>
      <c r="AA28" s="630"/>
      <c r="AB28" s="2598"/>
      <c r="AC28" s="2628"/>
      <c r="AD28" s="2628"/>
      <c r="AE28" s="2628"/>
      <c r="AF28" s="2628"/>
      <c r="AG28" s="2600"/>
      <c r="AH28" s="1087"/>
      <c r="AI28" s="2632" t="s">
        <v>3115</v>
      </c>
      <c r="AJ28" s="2632"/>
      <c r="AK28" s="2632"/>
      <c r="AL28" s="2632"/>
      <c r="AM28" s="2632"/>
      <c r="AN28" s="2632"/>
      <c r="AO28" s="2632"/>
      <c r="AP28" s="2632"/>
      <c r="AQ28" s="2632"/>
      <c r="AR28" s="2632"/>
      <c r="AS28" s="2632"/>
      <c r="AT28" s="2632"/>
      <c r="AU28" s="2632"/>
      <c r="AV28" s="2632"/>
      <c r="AW28" s="2632"/>
      <c r="AX28" s="2632"/>
      <c r="AY28" s="2633"/>
      <c r="AZ28" s="635"/>
      <c r="BC28" s="77">
        <v>27</v>
      </c>
    </row>
    <row r="29" spans="1:55" ht="26.1" customHeight="1">
      <c r="A29" s="635"/>
      <c r="B29" s="2629"/>
      <c r="C29" s="2630"/>
      <c r="D29" s="2630"/>
      <c r="E29" s="2630"/>
      <c r="F29" s="2630"/>
      <c r="G29" s="2631"/>
      <c r="H29" s="1087"/>
      <c r="I29" s="2632" t="s">
        <v>3116</v>
      </c>
      <c r="J29" s="2632"/>
      <c r="K29" s="2632"/>
      <c r="L29" s="2632"/>
      <c r="M29" s="2632"/>
      <c r="N29" s="2632"/>
      <c r="O29" s="2632"/>
      <c r="P29" s="2632"/>
      <c r="Q29" s="2632"/>
      <c r="R29" s="2632"/>
      <c r="S29" s="2632"/>
      <c r="T29" s="2632"/>
      <c r="U29" s="2632"/>
      <c r="V29" s="2632"/>
      <c r="W29" s="2632"/>
      <c r="X29" s="2632"/>
      <c r="Y29" s="2633"/>
      <c r="Z29" s="630"/>
      <c r="AA29" s="635"/>
      <c r="AB29" s="2629"/>
      <c r="AC29" s="2630"/>
      <c r="AD29" s="2630"/>
      <c r="AE29" s="2630"/>
      <c r="AF29" s="2630"/>
      <c r="AG29" s="2631"/>
      <c r="AH29" s="1087"/>
      <c r="AI29" s="2632" t="s">
        <v>3116</v>
      </c>
      <c r="AJ29" s="2632"/>
      <c r="AK29" s="2632"/>
      <c r="AL29" s="2632"/>
      <c r="AM29" s="2632"/>
      <c r="AN29" s="2632"/>
      <c r="AO29" s="2632"/>
      <c r="AP29" s="2632"/>
      <c r="AQ29" s="2632"/>
      <c r="AR29" s="2632"/>
      <c r="AS29" s="2632"/>
      <c r="AT29" s="2632"/>
      <c r="AU29" s="2632"/>
      <c r="AV29" s="2632"/>
      <c r="AW29" s="2632"/>
      <c r="AX29" s="2632"/>
      <c r="AY29" s="2633"/>
      <c r="AZ29" s="630"/>
      <c r="BC29" s="77">
        <v>28</v>
      </c>
    </row>
    <row r="30" spans="1:55" s="77" customFormat="1" ht="26.1" customHeight="1" thickBot="1">
      <c r="A30" s="1088"/>
      <c r="B30" s="1089"/>
      <c r="C30" s="1089"/>
      <c r="D30" s="1089"/>
      <c r="E30" s="1089"/>
      <c r="F30" s="1089"/>
      <c r="G30" s="1089"/>
      <c r="H30" s="1090"/>
      <c r="I30" s="1091"/>
      <c r="J30" s="1091"/>
      <c r="K30" s="1091"/>
      <c r="L30" s="1091"/>
      <c r="M30" s="1091"/>
      <c r="N30" s="1091"/>
      <c r="O30" s="1091"/>
      <c r="P30" s="1091"/>
      <c r="Q30" s="1091"/>
      <c r="R30" s="1091"/>
      <c r="S30" s="1091"/>
      <c r="T30" s="1091"/>
      <c r="U30" s="1091"/>
      <c r="V30" s="1091"/>
      <c r="W30" s="1091"/>
      <c r="X30" s="1091"/>
      <c r="Y30" s="1091"/>
      <c r="Z30" s="1088"/>
      <c r="AA30" s="1089"/>
      <c r="AB30" s="1101"/>
      <c r="AC30" s="1101"/>
      <c r="AD30" s="1101"/>
      <c r="AE30" s="1101"/>
      <c r="AF30" s="1101"/>
      <c r="AG30" s="1101"/>
      <c r="AH30" s="1101"/>
      <c r="AI30" s="1101"/>
      <c r="AJ30" s="1101"/>
      <c r="AK30" s="1101"/>
      <c r="AL30" s="1101"/>
      <c r="AM30" s="1101"/>
      <c r="AN30" s="1101"/>
      <c r="AO30" s="1101"/>
      <c r="AP30" s="1101"/>
      <c r="AQ30" s="1101"/>
      <c r="AR30" s="1101"/>
      <c r="AS30" s="1101"/>
      <c r="AT30" s="1101"/>
      <c r="AU30" s="1101"/>
      <c r="AV30" s="1101"/>
      <c r="AW30" s="1101"/>
      <c r="AX30" s="1101"/>
      <c r="AY30" s="1101"/>
      <c r="AZ30" s="1089"/>
    </row>
    <row r="31" spans="1:55" s="77" customFormat="1" ht="14.25" customHeight="1" thickTop="1">
      <c r="A31" s="935"/>
      <c r="B31" s="934"/>
      <c r="C31" s="934"/>
      <c r="D31" s="934"/>
      <c r="E31" s="934"/>
      <c r="F31" s="934"/>
      <c r="G31" s="934"/>
      <c r="H31" s="934"/>
      <c r="I31" s="934"/>
      <c r="J31" s="934"/>
      <c r="K31" s="934"/>
      <c r="L31" s="934"/>
      <c r="M31" s="934"/>
      <c r="N31" s="934"/>
      <c r="O31" s="934"/>
      <c r="P31" s="934"/>
      <c r="Q31" s="934"/>
      <c r="R31" s="934"/>
      <c r="S31" s="934"/>
      <c r="T31" s="934"/>
      <c r="U31" s="934"/>
      <c r="V31" s="927">
        <f>H43</f>
        <v>0</v>
      </c>
      <c r="W31" s="934"/>
      <c r="X31" s="934"/>
      <c r="Y31" s="934"/>
      <c r="Z31" s="933"/>
      <c r="AA31" s="936"/>
      <c r="AB31" s="933"/>
      <c r="AC31" s="933"/>
      <c r="AD31" s="933"/>
      <c r="AE31" s="933"/>
      <c r="AF31" s="933"/>
      <c r="AG31" s="933"/>
      <c r="AH31" s="933"/>
      <c r="AI31" s="933"/>
      <c r="AJ31" s="933"/>
      <c r="AK31" s="933"/>
      <c r="AL31" s="933"/>
      <c r="AM31" s="933"/>
      <c r="AN31" s="933"/>
      <c r="AO31" s="933"/>
      <c r="AP31" s="933"/>
      <c r="AQ31" s="933"/>
      <c r="AR31" s="933"/>
      <c r="AS31" s="933"/>
      <c r="AT31" s="933"/>
      <c r="AU31" s="933"/>
      <c r="AV31" s="933"/>
      <c r="AW31" s="933"/>
      <c r="AX31" s="933"/>
      <c r="AY31" s="933"/>
      <c r="AZ31" s="937"/>
      <c r="BC31" s="77">
        <v>29</v>
      </c>
    </row>
    <row r="32" spans="1:55" s="77" customFormat="1" ht="14.25" customHeight="1">
      <c r="A32" s="936"/>
      <c r="B32" s="1092"/>
      <c r="C32" s="1092"/>
      <c r="D32" s="1092"/>
      <c r="E32" s="1092"/>
      <c r="F32" s="1092"/>
      <c r="G32" s="1092"/>
      <c r="H32" s="1092"/>
      <c r="I32" s="1092"/>
      <c r="J32" s="1092"/>
      <c r="K32" s="1092"/>
      <c r="L32" s="1092"/>
      <c r="M32" s="1092"/>
      <c r="N32" s="1092"/>
      <c r="O32" s="1092"/>
      <c r="P32" s="1092"/>
      <c r="Q32" s="1092"/>
      <c r="R32" s="1092"/>
      <c r="S32" s="1092"/>
      <c r="T32" s="1092"/>
      <c r="U32" s="1092"/>
      <c r="V32" s="1093">
        <f>H42</f>
        <v>0</v>
      </c>
      <c r="W32" s="1092"/>
      <c r="X32" s="1092"/>
      <c r="Y32" s="1092"/>
      <c r="Z32" s="638"/>
      <c r="AA32" s="637"/>
      <c r="AB32" s="638"/>
      <c r="AC32" s="638"/>
      <c r="AD32" s="638"/>
      <c r="AE32" s="638"/>
      <c r="AF32" s="638"/>
      <c r="AG32" s="638"/>
      <c r="AH32" s="638"/>
      <c r="AI32" s="638"/>
      <c r="AJ32" s="638"/>
      <c r="AK32" s="638"/>
      <c r="AL32" s="638"/>
      <c r="AM32" s="638"/>
      <c r="AN32" s="638"/>
      <c r="AO32" s="638"/>
      <c r="AP32" s="638"/>
      <c r="AQ32" s="638"/>
      <c r="AR32" s="638"/>
      <c r="AS32" s="638"/>
      <c r="AV32" s="707">
        <v>7</v>
      </c>
      <c r="AW32" s="638"/>
      <c r="AX32" s="638"/>
      <c r="AY32" s="638"/>
      <c r="AZ32" s="659"/>
      <c r="BC32" s="77">
        <v>30</v>
      </c>
    </row>
    <row r="33" spans="1:55" ht="14.25" customHeight="1">
      <c r="A33" s="640"/>
      <c r="B33" s="653"/>
      <c r="C33" s="653"/>
      <c r="D33" s="653"/>
      <c r="E33" s="653"/>
      <c r="F33" s="653"/>
      <c r="G33" s="653"/>
      <c r="H33" s="653"/>
      <c r="I33" s="653"/>
      <c r="J33" s="653"/>
      <c r="K33" s="653"/>
      <c r="L33" s="653"/>
      <c r="M33" s="653"/>
      <c r="N33" s="653"/>
      <c r="O33" s="653"/>
      <c r="P33" s="653"/>
      <c r="Q33" s="653"/>
      <c r="R33" s="653"/>
      <c r="S33" s="653"/>
      <c r="T33" s="653"/>
      <c r="U33" s="653"/>
      <c r="V33" s="1093">
        <f>H39</f>
        <v>0</v>
      </c>
      <c r="W33" s="653"/>
      <c r="X33" s="653"/>
      <c r="Y33" s="653"/>
      <c r="Z33" s="631"/>
      <c r="AA33" s="630"/>
      <c r="AB33" s="631"/>
      <c r="AC33" s="631"/>
      <c r="AD33" s="631"/>
      <c r="AE33" s="631"/>
      <c r="AF33" s="631"/>
      <c r="AG33" s="631"/>
      <c r="AH33" s="631"/>
      <c r="AI33" s="631"/>
      <c r="AJ33" s="631"/>
      <c r="AK33" s="631"/>
      <c r="AL33" s="631"/>
      <c r="AM33" s="631"/>
      <c r="AN33" s="631"/>
      <c r="AO33" s="631"/>
      <c r="AP33" s="631"/>
      <c r="AQ33" s="631"/>
      <c r="AR33" s="631"/>
      <c r="AS33" s="631"/>
      <c r="AV33" s="707">
        <v>2</v>
      </c>
      <c r="AW33" s="631"/>
      <c r="AX33" s="631"/>
      <c r="AY33" s="631"/>
      <c r="AZ33" s="635"/>
      <c r="BC33" s="77">
        <v>31</v>
      </c>
    </row>
    <row r="34" spans="1:55" ht="14.25" customHeight="1">
      <c r="A34" s="2637" t="s">
        <v>2825</v>
      </c>
      <c r="B34" s="2636"/>
      <c r="C34" s="2636"/>
      <c r="D34" s="2636"/>
      <c r="E34" s="2636"/>
      <c r="F34" s="2636"/>
      <c r="G34" s="2636"/>
      <c r="H34" s="2636"/>
      <c r="I34" s="2636"/>
      <c r="J34" s="2636"/>
      <c r="K34" s="2636"/>
      <c r="L34" s="2636"/>
      <c r="M34" s="2636"/>
      <c r="N34" s="2636"/>
      <c r="O34" s="2636"/>
      <c r="P34" s="2636"/>
      <c r="Q34" s="2636"/>
      <c r="R34" s="2636"/>
      <c r="S34" s="2636"/>
      <c r="T34" s="2636"/>
      <c r="U34" s="654"/>
      <c r="V34" s="1093">
        <f>H38</f>
        <v>0</v>
      </c>
      <c r="W34" s="2636" t="s">
        <v>3117</v>
      </c>
      <c r="X34" s="2636"/>
      <c r="Y34" s="2636"/>
      <c r="Z34" s="639"/>
      <c r="AA34" s="2642" t="s">
        <v>2943</v>
      </c>
      <c r="AB34" s="1943"/>
      <c r="AC34" s="1943"/>
      <c r="AD34" s="1943"/>
      <c r="AE34" s="1943"/>
      <c r="AF34" s="1943"/>
      <c r="AG34" s="1943"/>
      <c r="AH34" s="1943"/>
      <c r="AI34" s="1943"/>
      <c r="AJ34" s="1943"/>
      <c r="AK34" s="1943"/>
      <c r="AL34" s="1943"/>
      <c r="AM34" s="1943"/>
      <c r="AN34" s="1943"/>
      <c r="AO34" s="1943"/>
      <c r="AP34" s="1943"/>
      <c r="AQ34" s="1943"/>
      <c r="AR34" s="1943"/>
      <c r="AS34" s="1943"/>
      <c r="AT34" s="1943"/>
      <c r="AV34" s="639">
        <v>1</v>
      </c>
      <c r="AW34" s="2639" t="s">
        <v>2798</v>
      </c>
      <c r="AX34" s="2639"/>
      <c r="AY34" s="2639"/>
      <c r="AZ34" s="661"/>
    </row>
    <row r="35" spans="1:55" ht="14.25" customHeight="1">
      <c r="A35" s="2601" t="s">
        <v>272</v>
      </c>
      <c r="B35" s="2638"/>
      <c r="C35" s="2638"/>
      <c r="D35" s="2638"/>
      <c r="E35" s="2638"/>
      <c r="F35" s="2638"/>
      <c r="G35" s="2638"/>
      <c r="H35" s="2638"/>
      <c r="I35" s="2638"/>
      <c r="J35" s="2638"/>
      <c r="K35" s="2638"/>
      <c r="L35" s="2638"/>
      <c r="M35" s="2638"/>
      <c r="N35" s="2638"/>
      <c r="O35" s="2638"/>
      <c r="P35" s="2638"/>
      <c r="Q35" s="2638"/>
      <c r="R35" s="2638"/>
      <c r="S35" s="653"/>
      <c r="T35" s="653"/>
      <c r="U35" s="653"/>
      <c r="V35" s="1093">
        <f>H40</f>
        <v>0</v>
      </c>
      <c r="W35" s="653"/>
      <c r="X35" s="653"/>
      <c r="Y35" s="653"/>
      <c r="Z35" s="631"/>
      <c r="AA35" s="2601" t="s">
        <v>272</v>
      </c>
      <c r="AB35" s="2602"/>
      <c r="AC35" s="2602"/>
      <c r="AD35" s="2602"/>
      <c r="AE35" s="2602"/>
      <c r="AF35" s="2602"/>
      <c r="AG35" s="2602"/>
      <c r="AH35" s="2602"/>
      <c r="AI35" s="2602"/>
      <c r="AJ35" s="2602"/>
      <c r="AK35" s="2602"/>
      <c r="AL35" s="2602"/>
      <c r="AM35" s="2602"/>
      <c r="AN35" s="2602"/>
      <c r="AO35" s="631"/>
      <c r="AP35" s="631"/>
      <c r="AQ35" s="631"/>
      <c r="AR35" s="631"/>
      <c r="AS35" s="631"/>
      <c r="AV35" s="707">
        <v>4</v>
      </c>
      <c r="AW35" s="631"/>
      <c r="AX35" s="631"/>
      <c r="AY35" s="631"/>
      <c r="AZ35" s="635"/>
    </row>
    <row r="36" spans="1:55" ht="14.25" customHeight="1">
      <c r="A36" s="643"/>
      <c r="B36" s="1094"/>
      <c r="C36" s="1094"/>
      <c r="D36" s="1094"/>
      <c r="E36" s="1094"/>
      <c r="F36" s="1094"/>
      <c r="G36" s="1094"/>
      <c r="H36" s="1094"/>
      <c r="I36" s="1094"/>
      <c r="J36" s="1094"/>
      <c r="K36" s="1094"/>
      <c r="L36" s="654"/>
      <c r="M36" s="2636" t="s">
        <v>273</v>
      </c>
      <c r="N36" s="2636"/>
      <c r="O36" s="2636"/>
      <c r="P36" s="2636"/>
      <c r="Q36" s="2636"/>
      <c r="R36" s="654"/>
      <c r="S36" s="654"/>
      <c r="T36" s="654"/>
      <c r="U36" s="654"/>
      <c r="V36" s="1093">
        <f>H41</f>
        <v>0</v>
      </c>
      <c r="W36" s="654"/>
      <c r="X36" s="654"/>
      <c r="Y36" s="654"/>
      <c r="Z36" s="641"/>
      <c r="AA36" s="640"/>
      <c r="AB36" s="641"/>
      <c r="AC36" s="641"/>
      <c r="AD36" s="641"/>
      <c r="AE36" s="641"/>
      <c r="AF36" s="641"/>
      <c r="AG36" s="641"/>
      <c r="AH36" s="641"/>
      <c r="AI36" s="641"/>
      <c r="AJ36" s="641"/>
      <c r="AK36" s="641"/>
      <c r="AL36" s="641"/>
      <c r="AM36" s="2639" t="s">
        <v>273</v>
      </c>
      <c r="AN36" s="2639"/>
      <c r="AO36" s="2639"/>
      <c r="AP36" s="2639"/>
      <c r="AQ36" s="2639"/>
      <c r="AR36" s="641"/>
      <c r="AS36" s="641"/>
      <c r="AT36" s="641"/>
      <c r="AU36" s="641"/>
      <c r="AV36" s="642">
        <f>AH41</f>
        <v>0</v>
      </c>
      <c r="AW36" s="641"/>
      <c r="AX36" s="641"/>
      <c r="AY36" s="641"/>
      <c r="AZ36" s="660"/>
    </row>
    <row r="37" spans="1:55" ht="14.25" customHeight="1">
      <c r="A37" s="643"/>
      <c r="B37" s="1095"/>
      <c r="C37" s="1095"/>
      <c r="D37" s="1095"/>
      <c r="E37" s="1095"/>
      <c r="F37" s="1095"/>
      <c r="G37" s="1095"/>
      <c r="H37" s="1095"/>
      <c r="I37" s="1095"/>
      <c r="J37" s="1095"/>
      <c r="K37" s="1094"/>
      <c r="L37" s="654"/>
      <c r="M37" s="2636"/>
      <c r="N37" s="2636"/>
      <c r="O37" s="2636"/>
      <c r="P37" s="2636"/>
      <c r="Q37" s="2636"/>
      <c r="R37" s="2634">
        <f>R40*W40+R42*W42+R44*W44+R46*W46+R48*W48+R50*W50+W52*R52</f>
        <v>0</v>
      </c>
      <c r="S37" s="2634"/>
      <c r="T37" s="2634"/>
      <c r="U37" s="2634"/>
      <c r="V37" s="2634"/>
      <c r="W37" s="2634"/>
      <c r="X37" s="2634"/>
      <c r="Y37" s="654"/>
      <c r="Z37" s="639"/>
      <c r="AA37" s="640"/>
      <c r="AB37" s="641"/>
      <c r="AC37" s="641"/>
      <c r="AD37" s="641"/>
      <c r="AE37" s="641"/>
      <c r="AF37" s="641"/>
      <c r="AG37" s="641"/>
      <c r="AH37" s="641"/>
      <c r="AI37" s="641"/>
      <c r="AJ37" s="641"/>
      <c r="AK37" s="641"/>
      <c r="AL37" s="641"/>
      <c r="AM37" s="2639"/>
      <c r="AN37" s="2639"/>
      <c r="AO37" s="2639"/>
      <c r="AP37" s="2639"/>
      <c r="AQ37" s="2639"/>
      <c r="AR37" s="2640">
        <f>AR40*AW40+AR42*AW42+AR44*AW44+AR46*AW46+AR48*AW48+AR50*AW50</f>
        <v>3630</v>
      </c>
      <c r="AS37" s="2640"/>
      <c r="AT37" s="2640"/>
      <c r="AU37" s="2640"/>
      <c r="AV37" s="2640"/>
      <c r="AW37" s="2640"/>
      <c r="AX37" s="2640"/>
      <c r="AY37" s="639"/>
      <c r="AZ37" s="661"/>
    </row>
    <row r="38" spans="1:55" ht="14.25" customHeight="1" thickBot="1">
      <c r="A38" s="643"/>
      <c r="B38" s="1095"/>
      <c r="C38" s="1095" t="s">
        <v>3104</v>
      </c>
      <c r="D38" s="1095">
        <f>IF(OR(H22="",H22=0),0,1)</f>
        <v>0</v>
      </c>
      <c r="E38" s="1095"/>
      <c r="F38" s="1095"/>
      <c r="G38" s="1095">
        <v>1</v>
      </c>
      <c r="H38" s="1095">
        <f t="shared" ref="H38:H43" si="0">LARGE($D$38:$D$45,ROW(A1))</f>
        <v>0</v>
      </c>
      <c r="I38" s="1095"/>
      <c r="J38" s="1095"/>
      <c r="K38" s="1094"/>
      <c r="L38" s="654"/>
      <c r="M38" s="654"/>
      <c r="N38" s="654"/>
      <c r="O38" s="654"/>
      <c r="P38" s="654"/>
      <c r="Q38" s="654"/>
      <c r="R38" s="2635"/>
      <c r="S38" s="2635"/>
      <c r="T38" s="2635"/>
      <c r="U38" s="2635"/>
      <c r="V38" s="2635"/>
      <c r="W38" s="2635"/>
      <c r="X38" s="2635"/>
      <c r="Y38" s="644" t="s">
        <v>274</v>
      </c>
      <c r="Z38" s="639"/>
      <c r="AA38" s="640"/>
      <c r="AB38" s="641"/>
      <c r="AC38" s="641"/>
      <c r="AD38" s="641"/>
      <c r="AE38" s="641"/>
      <c r="AF38" s="641"/>
      <c r="AG38" s="641"/>
      <c r="AH38" s="641"/>
      <c r="AI38" s="641"/>
      <c r="AJ38" s="641"/>
      <c r="AK38" s="641"/>
      <c r="AL38" s="641"/>
      <c r="AM38" s="639"/>
      <c r="AN38" s="639"/>
      <c r="AO38" s="639"/>
      <c r="AP38" s="639"/>
      <c r="AQ38" s="639"/>
      <c r="AR38" s="2641"/>
      <c r="AS38" s="2641"/>
      <c r="AT38" s="2641"/>
      <c r="AU38" s="2641"/>
      <c r="AV38" s="2641"/>
      <c r="AW38" s="2641"/>
      <c r="AX38" s="2641"/>
      <c r="AY38" s="644" t="s">
        <v>274</v>
      </c>
      <c r="AZ38" s="661"/>
    </row>
    <row r="39" spans="1:55" ht="14.25" customHeight="1">
      <c r="A39" s="643"/>
      <c r="B39" s="1095"/>
      <c r="C39" s="1095" t="s">
        <v>3105</v>
      </c>
      <c r="D39" s="1095">
        <f>IF(OR(H23="",H23=0),0,2)</f>
        <v>0</v>
      </c>
      <c r="E39" s="1095"/>
      <c r="F39" s="1095"/>
      <c r="G39" s="1095">
        <v>2</v>
      </c>
      <c r="H39" s="1095">
        <f t="shared" si="0"/>
        <v>0</v>
      </c>
      <c r="I39" s="1095"/>
      <c r="J39" s="1095"/>
      <c r="K39" s="1094"/>
      <c r="L39" s="654"/>
      <c r="M39" s="654"/>
      <c r="N39" s="1959" t="s">
        <v>275</v>
      </c>
      <c r="O39" s="1959"/>
      <c r="P39" s="1959"/>
      <c r="Q39" s="1959"/>
      <c r="R39" s="1959"/>
      <c r="S39" s="1959"/>
      <c r="T39" s="1959"/>
      <c r="U39" s="1959"/>
      <c r="V39" s="1959"/>
      <c r="W39" s="1959"/>
      <c r="X39" s="1959"/>
      <c r="Y39" s="1959"/>
      <c r="Z39" s="639"/>
      <c r="AA39" s="640"/>
      <c r="AB39" s="641"/>
      <c r="AC39" s="641"/>
      <c r="AD39" s="641"/>
      <c r="AE39" s="641"/>
      <c r="AF39" s="641"/>
      <c r="AG39" s="641"/>
      <c r="AH39" s="641"/>
      <c r="AI39" s="641"/>
      <c r="AJ39" s="641"/>
      <c r="AK39" s="641"/>
      <c r="AL39" s="641"/>
      <c r="AM39" s="639"/>
      <c r="AN39" s="1943" t="s">
        <v>275</v>
      </c>
      <c r="AO39" s="1943"/>
      <c r="AP39" s="1943"/>
      <c r="AQ39" s="1943"/>
      <c r="AR39" s="1943"/>
      <c r="AS39" s="1943"/>
      <c r="AT39" s="1943"/>
      <c r="AU39" s="1943"/>
      <c r="AV39" s="1943"/>
      <c r="AW39" s="1943"/>
      <c r="AX39" s="1943"/>
      <c r="AY39" s="1943"/>
      <c r="AZ39" s="661"/>
    </row>
    <row r="40" spans="1:55" ht="14.25" customHeight="1">
      <c r="A40" s="643"/>
      <c r="B40" s="1095"/>
      <c r="C40" s="1095" t="s">
        <v>3118</v>
      </c>
      <c r="D40" s="1095">
        <f>IF(OR(H24="",H24=0),0,3)</f>
        <v>0</v>
      </c>
      <c r="E40" s="1095"/>
      <c r="F40" s="1095"/>
      <c r="G40" s="1095">
        <v>3</v>
      </c>
      <c r="H40" s="1095">
        <f t="shared" si="0"/>
        <v>0</v>
      </c>
      <c r="I40" s="1095"/>
      <c r="J40" s="1095"/>
      <c r="K40" s="1096"/>
      <c r="L40" s="2588"/>
      <c r="M40" s="2588"/>
      <c r="N40" s="2588"/>
      <c r="O40" s="2588"/>
      <c r="P40" s="2588"/>
      <c r="Q40" s="1097"/>
      <c r="R40" s="2646"/>
      <c r="S40" s="2646"/>
      <c r="T40" s="2646"/>
      <c r="U40" s="654"/>
      <c r="V40" s="654"/>
      <c r="W40" s="2643"/>
      <c r="X40" s="2643"/>
      <c r="Y40" s="654"/>
      <c r="Z40" s="639"/>
      <c r="AA40" s="640"/>
      <c r="AB40" s="639"/>
      <c r="AC40" s="639"/>
      <c r="AD40" s="639"/>
      <c r="AE40" s="639"/>
      <c r="AF40" s="639"/>
      <c r="AG40" s="639"/>
      <c r="AH40" s="639"/>
      <c r="AI40" s="639"/>
      <c r="AJ40" s="639"/>
      <c r="AK40" s="641"/>
      <c r="AL40" s="2649" t="s">
        <v>2822</v>
      </c>
      <c r="AM40" s="2649"/>
      <c r="AN40" s="2649"/>
      <c r="AO40" s="2649"/>
      <c r="AP40" s="2649"/>
      <c r="AQ40" s="645"/>
      <c r="AR40" s="2650">
        <v>330</v>
      </c>
      <c r="AS40" s="2650"/>
      <c r="AT40" s="2650"/>
      <c r="AU40" s="639"/>
      <c r="AV40" s="639"/>
      <c r="AW40" s="2650">
        <v>9</v>
      </c>
      <c r="AX40" s="2650"/>
      <c r="AY40" s="639"/>
      <c r="AZ40" s="661"/>
    </row>
    <row r="41" spans="1:55" ht="14.25" customHeight="1">
      <c r="A41" s="643"/>
      <c r="B41" s="1095"/>
      <c r="C41" s="1095" t="s">
        <v>520</v>
      </c>
      <c r="D41" s="1095">
        <f>IF(OR(H25="",H25=0),0,4)</f>
        <v>0</v>
      </c>
      <c r="E41" s="1095"/>
      <c r="F41" s="1095"/>
      <c r="G41" s="1095">
        <v>4</v>
      </c>
      <c r="H41" s="1095">
        <f t="shared" si="0"/>
        <v>0</v>
      </c>
      <c r="I41" s="1095"/>
      <c r="J41" s="1095"/>
      <c r="K41" s="1096"/>
      <c r="L41" s="2588"/>
      <c r="M41" s="2588"/>
      <c r="N41" s="2588"/>
      <c r="O41" s="2588"/>
      <c r="P41" s="2588"/>
      <c r="Q41" s="926" t="s">
        <v>276</v>
      </c>
      <c r="R41" s="2647"/>
      <c r="S41" s="2647"/>
      <c r="T41" s="2647"/>
      <c r="U41" s="926" t="s">
        <v>274</v>
      </c>
      <c r="V41" s="926" t="s">
        <v>122</v>
      </c>
      <c r="W41" s="2644"/>
      <c r="X41" s="2644"/>
      <c r="Y41" s="926" t="s">
        <v>37</v>
      </c>
      <c r="Z41" s="641"/>
      <c r="AA41" s="640"/>
      <c r="AB41" s="639"/>
      <c r="AC41" s="639"/>
      <c r="AD41" s="639"/>
      <c r="AE41" s="639"/>
      <c r="AF41" s="639"/>
      <c r="AG41" s="639"/>
      <c r="AH41" s="639"/>
      <c r="AI41" s="639"/>
      <c r="AJ41" s="639"/>
      <c r="AK41" s="641"/>
      <c r="AL41" s="2649"/>
      <c r="AM41" s="2649"/>
      <c r="AN41" s="2649"/>
      <c r="AO41" s="2649"/>
      <c r="AP41" s="2649"/>
      <c r="AQ41" s="538" t="s">
        <v>276</v>
      </c>
      <c r="AR41" s="2651"/>
      <c r="AS41" s="2651"/>
      <c r="AT41" s="2651"/>
      <c r="AU41" s="538" t="s">
        <v>274</v>
      </c>
      <c r="AV41" s="538" t="s">
        <v>122</v>
      </c>
      <c r="AW41" s="2651"/>
      <c r="AX41" s="2651"/>
      <c r="AY41" s="538" t="s">
        <v>37</v>
      </c>
      <c r="AZ41" s="660"/>
    </row>
    <row r="42" spans="1:55" ht="14.25" customHeight="1">
      <c r="A42" s="643"/>
      <c r="B42" s="1095"/>
      <c r="C42" s="1095" t="s">
        <v>521</v>
      </c>
      <c r="D42" s="1095">
        <f>IF(OR(H26="",H26=0),0,5)</f>
        <v>0</v>
      </c>
      <c r="E42" s="1095"/>
      <c r="F42" s="1095"/>
      <c r="G42" s="1095">
        <v>5</v>
      </c>
      <c r="H42" s="1095">
        <f t="shared" si="0"/>
        <v>0</v>
      </c>
      <c r="I42" s="1095"/>
      <c r="J42" s="1095"/>
      <c r="K42" s="1096"/>
      <c r="L42" s="2588"/>
      <c r="M42" s="2588"/>
      <c r="N42" s="2588"/>
      <c r="O42" s="2588"/>
      <c r="P42" s="2588"/>
      <c r="Q42" s="1098"/>
      <c r="R42" s="2648"/>
      <c r="S42" s="2648"/>
      <c r="T42" s="2648"/>
      <c r="U42" s="1098"/>
      <c r="V42" s="1098"/>
      <c r="W42" s="2645"/>
      <c r="X42" s="2645"/>
      <c r="Y42" s="1098"/>
      <c r="Z42" s="641"/>
      <c r="AA42" s="640"/>
      <c r="AB42" s="639"/>
      <c r="AC42" s="639"/>
      <c r="AD42" s="639"/>
      <c r="AE42" s="639"/>
      <c r="AF42" s="639"/>
      <c r="AG42" s="639"/>
      <c r="AH42" s="639"/>
      <c r="AI42" s="639"/>
      <c r="AJ42" s="639"/>
      <c r="AK42" s="641"/>
      <c r="AL42" s="2649" t="s">
        <v>2823</v>
      </c>
      <c r="AM42" s="2649"/>
      <c r="AN42" s="2649"/>
      <c r="AO42" s="2649"/>
      <c r="AP42" s="2649"/>
      <c r="AQ42" s="646"/>
      <c r="AR42" s="2652">
        <v>330</v>
      </c>
      <c r="AS42" s="2652"/>
      <c r="AT42" s="2652"/>
      <c r="AU42" s="646"/>
      <c r="AV42" s="646"/>
      <c r="AW42" s="2652">
        <v>1</v>
      </c>
      <c r="AX42" s="2652"/>
      <c r="AY42" s="646"/>
      <c r="AZ42" s="660"/>
    </row>
    <row r="43" spans="1:55" ht="14.25" customHeight="1">
      <c r="A43" s="643"/>
      <c r="B43" s="1095"/>
      <c r="C43" s="1095" t="s">
        <v>3011</v>
      </c>
      <c r="D43" s="1095">
        <f>IF(OR(H27="",H27=0),0,6)</f>
        <v>0</v>
      </c>
      <c r="E43" s="629"/>
      <c r="F43" s="629"/>
      <c r="G43" s="1095">
        <v>6</v>
      </c>
      <c r="H43" s="1095">
        <f t="shared" si="0"/>
        <v>0</v>
      </c>
      <c r="I43" s="1095"/>
      <c r="J43" s="1095"/>
      <c r="K43" s="1096"/>
      <c r="L43" s="2588"/>
      <c r="M43" s="2588"/>
      <c r="N43" s="2588"/>
      <c r="O43" s="2588"/>
      <c r="P43" s="2588"/>
      <c r="Q43" s="926" t="s">
        <v>276</v>
      </c>
      <c r="R43" s="2647"/>
      <c r="S43" s="2647"/>
      <c r="T43" s="2647"/>
      <c r="U43" s="926" t="s">
        <v>274</v>
      </c>
      <c r="V43" s="926" t="s">
        <v>122</v>
      </c>
      <c r="W43" s="2644"/>
      <c r="X43" s="2644"/>
      <c r="Y43" s="926" t="s">
        <v>37</v>
      </c>
      <c r="Z43" s="641"/>
      <c r="AA43" s="640"/>
      <c r="AB43" s="639"/>
      <c r="AC43" s="639"/>
      <c r="AD43" s="639"/>
      <c r="AE43" s="639"/>
      <c r="AF43" s="639"/>
      <c r="AG43" s="639"/>
      <c r="AH43" s="639"/>
      <c r="AI43" s="639"/>
      <c r="AJ43" s="639"/>
      <c r="AK43" s="641"/>
      <c r="AL43" s="2649"/>
      <c r="AM43" s="2649"/>
      <c r="AN43" s="2649"/>
      <c r="AO43" s="2649"/>
      <c r="AP43" s="2649"/>
      <c r="AQ43" s="538" t="s">
        <v>276</v>
      </c>
      <c r="AR43" s="2651"/>
      <c r="AS43" s="2651"/>
      <c r="AT43" s="2651"/>
      <c r="AU43" s="538" t="s">
        <v>274</v>
      </c>
      <c r="AV43" s="538" t="s">
        <v>122</v>
      </c>
      <c r="AW43" s="2651"/>
      <c r="AX43" s="2651"/>
      <c r="AY43" s="538" t="s">
        <v>37</v>
      </c>
      <c r="AZ43" s="660"/>
    </row>
    <row r="44" spans="1:55" ht="14.25" customHeight="1">
      <c r="A44" s="643"/>
      <c r="B44" s="1095"/>
      <c r="C44" s="1095" t="s">
        <v>3119</v>
      </c>
      <c r="D44" s="1095">
        <f>IF(OR(H28="",H28=0),0,7)</f>
        <v>0</v>
      </c>
      <c r="E44" s="1095"/>
      <c r="F44" s="1095"/>
      <c r="G44" s="1095">
        <v>7</v>
      </c>
      <c r="H44" s="1095"/>
      <c r="I44" s="1095"/>
      <c r="J44" s="1095"/>
      <c r="K44" s="1096"/>
      <c r="L44" s="2588"/>
      <c r="M44" s="2588"/>
      <c r="N44" s="2588"/>
      <c r="O44" s="2588"/>
      <c r="P44" s="2588"/>
      <c r="Q44" s="1098"/>
      <c r="R44" s="2648"/>
      <c r="S44" s="2648"/>
      <c r="T44" s="2648"/>
      <c r="U44" s="1098"/>
      <c r="V44" s="1098"/>
      <c r="W44" s="2645"/>
      <c r="X44" s="2645"/>
      <c r="Y44" s="1098"/>
      <c r="Z44" s="641"/>
      <c r="AA44" s="640"/>
      <c r="AB44" s="639"/>
      <c r="AC44" s="639"/>
      <c r="AD44" s="639"/>
      <c r="AE44" s="639"/>
      <c r="AF44" s="639"/>
      <c r="AG44" s="639"/>
      <c r="AH44" s="639"/>
      <c r="AI44" s="639"/>
      <c r="AJ44" s="639"/>
      <c r="AK44" s="641"/>
      <c r="AL44" s="2649" t="s">
        <v>2824</v>
      </c>
      <c r="AM44" s="2649"/>
      <c r="AN44" s="2649"/>
      <c r="AO44" s="2649"/>
      <c r="AP44" s="2649"/>
      <c r="AQ44" s="646"/>
      <c r="AR44" s="2652">
        <v>330</v>
      </c>
      <c r="AS44" s="2652"/>
      <c r="AT44" s="2652"/>
      <c r="AU44" s="646"/>
      <c r="AV44" s="646"/>
      <c r="AW44" s="2652">
        <v>1</v>
      </c>
      <c r="AX44" s="2652"/>
      <c r="AY44" s="646"/>
      <c r="AZ44" s="660"/>
    </row>
    <row r="45" spans="1:55" ht="14.25" customHeight="1">
      <c r="A45" s="643"/>
      <c r="B45" s="1095"/>
      <c r="C45" s="1095" t="s">
        <v>3106</v>
      </c>
      <c r="D45" s="1095">
        <f>IF(OR(H29="",H29=0),0,8)</f>
        <v>0</v>
      </c>
      <c r="E45" s="1095"/>
      <c r="F45" s="1095"/>
      <c r="G45" s="1095">
        <v>8</v>
      </c>
      <c r="H45" s="1095"/>
      <c r="I45" s="1095"/>
      <c r="J45" s="1095"/>
      <c r="K45" s="1096"/>
      <c r="L45" s="2588"/>
      <c r="M45" s="2588"/>
      <c r="N45" s="2588"/>
      <c r="O45" s="2588"/>
      <c r="P45" s="2588"/>
      <c r="Q45" s="926" t="s">
        <v>276</v>
      </c>
      <c r="R45" s="2647"/>
      <c r="S45" s="2647"/>
      <c r="T45" s="2647"/>
      <c r="U45" s="926" t="s">
        <v>274</v>
      </c>
      <c r="V45" s="926" t="s">
        <v>122</v>
      </c>
      <c r="W45" s="2644"/>
      <c r="X45" s="2644"/>
      <c r="Y45" s="926" t="s">
        <v>37</v>
      </c>
      <c r="Z45" s="641"/>
      <c r="AA45" s="640"/>
      <c r="AB45" s="639"/>
      <c r="AC45" s="639"/>
      <c r="AD45" s="639"/>
      <c r="AE45" s="639"/>
      <c r="AF45" s="639"/>
      <c r="AG45" s="639"/>
      <c r="AH45" s="639"/>
      <c r="AI45" s="639"/>
      <c r="AJ45" s="639"/>
      <c r="AK45" s="641"/>
      <c r="AL45" s="2649"/>
      <c r="AM45" s="2649"/>
      <c r="AN45" s="2649"/>
      <c r="AO45" s="2649"/>
      <c r="AP45" s="2649"/>
      <c r="AQ45" s="538" t="s">
        <v>276</v>
      </c>
      <c r="AR45" s="2651"/>
      <c r="AS45" s="2651"/>
      <c r="AT45" s="2651"/>
      <c r="AU45" s="538" t="s">
        <v>274</v>
      </c>
      <c r="AV45" s="538" t="s">
        <v>122</v>
      </c>
      <c r="AW45" s="2651"/>
      <c r="AX45" s="2651"/>
      <c r="AY45" s="538" t="s">
        <v>37</v>
      </c>
      <c r="AZ45" s="660"/>
    </row>
    <row r="46" spans="1:55" ht="14.25" customHeight="1">
      <c r="A46" s="643"/>
      <c r="B46" s="1099"/>
      <c r="C46" s="1099"/>
      <c r="D46" s="1099"/>
      <c r="E46" s="1099"/>
      <c r="F46" s="1099"/>
      <c r="G46" s="1099"/>
      <c r="H46" s="1099"/>
      <c r="I46" s="1099"/>
      <c r="J46" s="1099"/>
      <c r="K46" s="1096"/>
      <c r="L46" s="2588"/>
      <c r="M46" s="2588"/>
      <c r="N46" s="2588"/>
      <c r="O46" s="2588"/>
      <c r="P46" s="2588"/>
      <c r="Q46" s="1098"/>
      <c r="R46" s="2648"/>
      <c r="S46" s="2648"/>
      <c r="T46" s="2648"/>
      <c r="U46" s="1098"/>
      <c r="V46" s="1098"/>
      <c r="W46" s="2645"/>
      <c r="X46" s="2645"/>
      <c r="Y46" s="1098"/>
      <c r="Z46" s="641"/>
      <c r="AA46" s="640"/>
      <c r="AB46" s="552"/>
      <c r="AC46" s="552"/>
      <c r="AD46" s="552"/>
      <c r="AE46" s="552"/>
      <c r="AF46" s="552"/>
      <c r="AG46" s="552"/>
      <c r="AH46" s="552"/>
      <c r="AI46" s="552"/>
      <c r="AJ46" s="552"/>
      <c r="AK46" s="641"/>
      <c r="AL46" s="2649">
        <f>IF(OR(AW46="",AW46=0),0,'05 利用者名簿'!DN6)</f>
        <v>0</v>
      </c>
      <c r="AM46" s="2649"/>
      <c r="AN46" s="2649"/>
      <c r="AO46" s="2649"/>
      <c r="AP46" s="2649"/>
      <c r="AQ46" s="646"/>
      <c r="AR46" s="2652">
        <f>IF(OR(AW46="",AW46=0),0,'05 利用者名簿'!DQ6)</f>
        <v>0</v>
      </c>
      <c r="AS46" s="2652"/>
      <c r="AT46" s="2652"/>
      <c r="AU46" s="646"/>
      <c r="AV46" s="646"/>
      <c r="AW46" s="2652">
        <f>'05 利用者名簿'!DO6</f>
        <v>0</v>
      </c>
      <c r="AX46" s="2652"/>
      <c r="AY46" s="646"/>
      <c r="AZ46" s="660"/>
    </row>
    <row r="47" spans="1:55" ht="14.25" customHeight="1">
      <c r="A47" s="643"/>
      <c r="B47" s="1096"/>
      <c r="C47" s="1096"/>
      <c r="D47" s="1096"/>
      <c r="E47" s="1096"/>
      <c r="F47" s="1096"/>
      <c r="G47" s="1096"/>
      <c r="H47" s="1096"/>
      <c r="I47" s="1096"/>
      <c r="J47" s="1100"/>
      <c r="K47" s="1096"/>
      <c r="L47" s="2588"/>
      <c r="M47" s="2588"/>
      <c r="N47" s="2588"/>
      <c r="O47" s="2588"/>
      <c r="P47" s="2588"/>
      <c r="Q47" s="926" t="s">
        <v>276</v>
      </c>
      <c r="R47" s="2647"/>
      <c r="S47" s="2647"/>
      <c r="T47" s="2647"/>
      <c r="U47" s="926" t="s">
        <v>274</v>
      </c>
      <c r="V47" s="926" t="s">
        <v>122</v>
      </c>
      <c r="W47" s="2644"/>
      <c r="X47" s="2644"/>
      <c r="Y47" s="926" t="s">
        <v>37</v>
      </c>
      <c r="Z47" s="641"/>
      <c r="AA47" s="640"/>
      <c r="AB47" s="552"/>
      <c r="AC47" s="552"/>
      <c r="AD47" s="552"/>
      <c r="AE47" s="552"/>
      <c r="AF47" s="552"/>
      <c r="AG47" s="552"/>
      <c r="AH47" s="552"/>
      <c r="AI47" s="552"/>
      <c r="AJ47" s="552"/>
      <c r="AK47" s="641"/>
      <c r="AL47" s="2649"/>
      <c r="AM47" s="2649"/>
      <c r="AN47" s="2649"/>
      <c r="AO47" s="2649"/>
      <c r="AP47" s="2649"/>
      <c r="AQ47" s="538" t="s">
        <v>276</v>
      </c>
      <c r="AR47" s="2651"/>
      <c r="AS47" s="2651"/>
      <c r="AT47" s="2651"/>
      <c r="AU47" s="538" t="s">
        <v>274</v>
      </c>
      <c r="AV47" s="538" t="s">
        <v>122</v>
      </c>
      <c r="AW47" s="2651"/>
      <c r="AX47" s="2651"/>
      <c r="AY47" s="538" t="s">
        <v>37</v>
      </c>
      <c r="AZ47" s="660"/>
    </row>
    <row r="48" spans="1:55" ht="14.25" customHeight="1">
      <c r="A48" s="640"/>
      <c r="B48" s="2653" t="s">
        <v>495</v>
      </c>
      <c r="C48" s="2653"/>
      <c r="D48" s="2653"/>
      <c r="E48" s="2653" t="s">
        <v>277</v>
      </c>
      <c r="F48" s="2653"/>
      <c r="G48" s="2653"/>
      <c r="H48" s="2653" t="s">
        <v>11</v>
      </c>
      <c r="I48" s="2653"/>
      <c r="J48" s="2653"/>
      <c r="K48" s="648"/>
      <c r="L48" s="2588"/>
      <c r="M48" s="2588"/>
      <c r="N48" s="2588"/>
      <c r="O48" s="2588"/>
      <c r="P48" s="2588"/>
      <c r="Q48" s="1098"/>
      <c r="R48" s="2648"/>
      <c r="S48" s="2648"/>
      <c r="T48" s="2648"/>
      <c r="U48" s="1098"/>
      <c r="V48" s="1098"/>
      <c r="W48" s="2645"/>
      <c r="X48" s="2645"/>
      <c r="Y48" s="1098"/>
      <c r="Z48" s="641"/>
      <c r="AA48" s="640"/>
      <c r="AB48" s="2653" t="s">
        <v>495</v>
      </c>
      <c r="AC48" s="2653"/>
      <c r="AD48" s="2653"/>
      <c r="AE48" s="2653" t="s">
        <v>277</v>
      </c>
      <c r="AF48" s="2653"/>
      <c r="AG48" s="2653"/>
      <c r="AH48" s="2653" t="s">
        <v>11</v>
      </c>
      <c r="AI48" s="2653"/>
      <c r="AJ48" s="2653"/>
      <c r="AK48" s="641"/>
      <c r="AL48" s="2649">
        <f>IF(OR(AW48="",AW48=0),0,'05 利用者名簿'!DN7)</f>
        <v>0</v>
      </c>
      <c r="AM48" s="2649"/>
      <c r="AN48" s="2649"/>
      <c r="AO48" s="2649"/>
      <c r="AP48" s="2649"/>
      <c r="AQ48" s="646"/>
      <c r="AR48" s="2652">
        <f>IF(OR(AW48="",AW48=0),0,'05 利用者名簿'!DQ7)</f>
        <v>0</v>
      </c>
      <c r="AS48" s="2652"/>
      <c r="AT48" s="2652"/>
      <c r="AU48" s="646"/>
      <c r="AV48" s="646"/>
      <c r="AW48" s="2652">
        <f>'05 利用者名簿'!DO7</f>
        <v>0</v>
      </c>
      <c r="AX48" s="2652"/>
      <c r="AY48" s="646"/>
      <c r="AZ48" s="660"/>
    </row>
    <row r="49" spans="1:52" ht="14.25" customHeight="1">
      <c r="A49" s="640"/>
      <c r="B49" s="2653"/>
      <c r="C49" s="2653"/>
      <c r="D49" s="2653"/>
      <c r="E49" s="2653"/>
      <c r="F49" s="2653"/>
      <c r="G49" s="2653"/>
      <c r="H49" s="2653"/>
      <c r="I49" s="2653"/>
      <c r="J49" s="2653"/>
      <c r="K49" s="648"/>
      <c r="L49" s="2588"/>
      <c r="M49" s="2588"/>
      <c r="N49" s="2588"/>
      <c r="O49" s="2588"/>
      <c r="P49" s="2588"/>
      <c r="Q49" s="926" t="s">
        <v>276</v>
      </c>
      <c r="R49" s="2647"/>
      <c r="S49" s="2647"/>
      <c r="T49" s="2647"/>
      <c r="U49" s="926" t="s">
        <v>274</v>
      </c>
      <c r="V49" s="926" t="s">
        <v>122</v>
      </c>
      <c r="W49" s="2644"/>
      <c r="X49" s="2644"/>
      <c r="Y49" s="926" t="s">
        <v>37</v>
      </c>
      <c r="Z49" s="641"/>
      <c r="AA49" s="640"/>
      <c r="AB49" s="2653"/>
      <c r="AC49" s="2653"/>
      <c r="AD49" s="2653"/>
      <c r="AE49" s="2653"/>
      <c r="AF49" s="2653"/>
      <c r="AG49" s="2653"/>
      <c r="AH49" s="2653"/>
      <c r="AI49" s="2653"/>
      <c r="AJ49" s="2653"/>
      <c r="AK49" s="641"/>
      <c r="AL49" s="2649"/>
      <c r="AM49" s="2649"/>
      <c r="AN49" s="2649"/>
      <c r="AO49" s="2649"/>
      <c r="AP49" s="2649"/>
      <c r="AQ49" s="538" t="s">
        <v>276</v>
      </c>
      <c r="AR49" s="2651"/>
      <c r="AS49" s="2651"/>
      <c r="AT49" s="2651"/>
      <c r="AU49" s="538" t="s">
        <v>274</v>
      </c>
      <c r="AV49" s="538" t="s">
        <v>122</v>
      </c>
      <c r="AW49" s="2651"/>
      <c r="AX49" s="2651"/>
      <c r="AY49" s="538" t="s">
        <v>37</v>
      </c>
      <c r="AZ49" s="660"/>
    </row>
    <row r="50" spans="1:52" ht="14.25" customHeight="1">
      <c r="A50" s="640"/>
      <c r="B50" s="2654"/>
      <c r="C50" s="1922"/>
      <c r="D50" s="2655"/>
      <c r="E50" s="2654"/>
      <c r="F50" s="1922"/>
      <c r="G50" s="2655"/>
      <c r="H50" s="2654"/>
      <c r="I50" s="1922"/>
      <c r="J50" s="2655"/>
      <c r="K50" s="648"/>
      <c r="L50" s="2588"/>
      <c r="M50" s="2588"/>
      <c r="N50" s="2588"/>
      <c r="O50" s="2588"/>
      <c r="P50" s="2588"/>
      <c r="Q50" s="1098"/>
      <c r="R50" s="2648"/>
      <c r="S50" s="2648"/>
      <c r="T50" s="2648"/>
      <c r="U50" s="1098"/>
      <c r="V50" s="1098"/>
      <c r="W50" s="2645"/>
      <c r="X50" s="2645"/>
      <c r="Y50" s="1098"/>
      <c r="Z50" s="641"/>
      <c r="AA50" s="640"/>
      <c r="AB50" s="2653"/>
      <c r="AC50" s="2653"/>
      <c r="AD50" s="2653"/>
      <c r="AE50" s="2653"/>
      <c r="AF50" s="2653"/>
      <c r="AG50" s="2653"/>
      <c r="AH50" s="2653"/>
      <c r="AI50" s="2653"/>
      <c r="AJ50" s="2653"/>
      <c r="AK50" s="641"/>
      <c r="AL50" s="2649">
        <f>IF(OR(AW50="",AW50=0),0,'05 利用者名簿'!DN8)</f>
        <v>0</v>
      </c>
      <c r="AM50" s="2649"/>
      <c r="AN50" s="2649"/>
      <c r="AO50" s="2649"/>
      <c r="AP50" s="2649"/>
      <c r="AQ50" s="646"/>
      <c r="AR50" s="2652">
        <f>IF(OR(AW50="",AW50=0),0,'05 利用者名簿'!DQ8)</f>
        <v>0</v>
      </c>
      <c r="AS50" s="2652"/>
      <c r="AT50" s="2652"/>
      <c r="AU50" s="646"/>
      <c r="AV50" s="646"/>
      <c r="AW50" s="2652">
        <f>'05 利用者名簿'!DO8</f>
        <v>0</v>
      </c>
      <c r="AX50" s="2652"/>
      <c r="AY50" s="646"/>
      <c r="AZ50" s="660"/>
    </row>
    <row r="51" spans="1:52" ht="14.25" customHeight="1">
      <c r="A51" s="640"/>
      <c r="B51" s="2637"/>
      <c r="C51" s="2636"/>
      <c r="D51" s="2656"/>
      <c r="E51" s="2637"/>
      <c r="F51" s="2636"/>
      <c r="G51" s="2656"/>
      <c r="H51" s="2637"/>
      <c r="I51" s="2636"/>
      <c r="J51" s="2656"/>
      <c r="K51" s="648"/>
      <c r="L51" s="2588"/>
      <c r="M51" s="2588"/>
      <c r="N51" s="2588"/>
      <c r="O51" s="2588"/>
      <c r="P51" s="2588"/>
      <c r="Q51" s="926" t="s">
        <v>276</v>
      </c>
      <c r="R51" s="2647"/>
      <c r="S51" s="2647"/>
      <c r="T51" s="2647"/>
      <c r="U51" s="926" t="s">
        <v>274</v>
      </c>
      <c r="V51" s="926" t="s">
        <v>122</v>
      </c>
      <c r="W51" s="2644"/>
      <c r="X51" s="2644"/>
      <c r="Y51" s="926" t="s">
        <v>37</v>
      </c>
      <c r="Z51" s="641"/>
      <c r="AA51" s="640"/>
      <c r="AB51" s="2653"/>
      <c r="AC51" s="2653"/>
      <c r="AD51" s="2653"/>
      <c r="AE51" s="2653"/>
      <c r="AF51" s="2653"/>
      <c r="AG51" s="2653"/>
      <c r="AH51" s="2653"/>
      <c r="AI51" s="2653"/>
      <c r="AJ51" s="2653"/>
      <c r="AK51" s="641"/>
      <c r="AL51" s="2649"/>
      <c r="AM51" s="2649"/>
      <c r="AN51" s="2649"/>
      <c r="AO51" s="2649"/>
      <c r="AP51" s="2649"/>
      <c r="AQ51" s="538" t="s">
        <v>276</v>
      </c>
      <c r="AR51" s="2651"/>
      <c r="AS51" s="2651"/>
      <c r="AT51" s="2651"/>
      <c r="AU51" s="538" t="s">
        <v>274</v>
      </c>
      <c r="AV51" s="538" t="s">
        <v>122</v>
      </c>
      <c r="AW51" s="2651"/>
      <c r="AX51" s="2651"/>
      <c r="AY51" s="538" t="s">
        <v>37</v>
      </c>
      <c r="AZ51" s="660"/>
    </row>
    <row r="52" spans="1:52" ht="14.25" customHeight="1">
      <c r="A52" s="662"/>
      <c r="B52" s="2637"/>
      <c r="C52" s="2636"/>
      <c r="D52" s="2656"/>
      <c r="E52" s="2637"/>
      <c r="F52" s="2636"/>
      <c r="G52" s="2656"/>
      <c r="H52" s="2637"/>
      <c r="I52" s="2636"/>
      <c r="J52" s="2656"/>
      <c r="K52" s="653"/>
      <c r="L52" s="2588"/>
      <c r="M52" s="2588"/>
      <c r="N52" s="2588"/>
      <c r="O52" s="2588"/>
      <c r="P52" s="2588"/>
      <c r="Q52" s="1098"/>
      <c r="R52" s="2648"/>
      <c r="S52" s="2648"/>
      <c r="T52" s="2648"/>
      <c r="U52" s="1098"/>
      <c r="V52" s="1098"/>
      <c r="W52" s="2645"/>
      <c r="X52" s="2645"/>
      <c r="Y52" s="1098"/>
      <c r="Z52" s="631"/>
      <c r="AA52" s="630"/>
      <c r="AB52" s="2653"/>
      <c r="AC52" s="2653"/>
      <c r="AD52" s="2653"/>
      <c r="AE52" s="2653"/>
      <c r="AF52" s="2653"/>
      <c r="AG52" s="2653"/>
      <c r="AH52" s="2653"/>
      <c r="AI52" s="2653"/>
      <c r="AJ52" s="2653"/>
      <c r="AK52" s="631"/>
      <c r="AL52" s="2649">
        <f>IF(OR(AW52="",AW52=0),0,'05 利用者名簿'!DN9)</f>
        <v>0</v>
      </c>
      <c r="AM52" s="2649"/>
      <c r="AN52" s="2649"/>
      <c r="AO52" s="2649"/>
      <c r="AP52" s="2649"/>
      <c r="AQ52" s="646"/>
      <c r="AR52" s="2652">
        <f>IF(OR(AW52="",AW52=0),0,'05 利用者名簿'!DQ9)</f>
        <v>0</v>
      </c>
      <c r="AS52" s="2652"/>
      <c r="AT52" s="2652"/>
      <c r="AU52" s="646"/>
      <c r="AV52" s="646"/>
      <c r="AW52" s="2652">
        <f>'05 利用者名簿'!DO9</f>
        <v>0</v>
      </c>
      <c r="AX52" s="2652"/>
      <c r="AY52" s="646"/>
      <c r="AZ52" s="635"/>
    </row>
    <row r="53" spans="1:52" ht="14.25" customHeight="1">
      <c r="A53" s="640"/>
      <c r="B53" s="2657"/>
      <c r="C53" s="1902"/>
      <c r="D53" s="2658"/>
      <c r="E53" s="2657"/>
      <c r="F53" s="1902"/>
      <c r="G53" s="2658"/>
      <c r="H53" s="2657"/>
      <c r="I53" s="1902"/>
      <c r="J53" s="2658"/>
      <c r="K53" s="650"/>
      <c r="L53" s="2588"/>
      <c r="M53" s="2588"/>
      <c r="N53" s="2588"/>
      <c r="O53" s="2588"/>
      <c r="P53" s="2588"/>
      <c r="Q53" s="926" t="s">
        <v>276</v>
      </c>
      <c r="R53" s="2647"/>
      <c r="S53" s="2647"/>
      <c r="T53" s="2647"/>
      <c r="U53" s="926" t="s">
        <v>274</v>
      </c>
      <c r="V53" s="926" t="s">
        <v>122</v>
      </c>
      <c r="W53" s="2644"/>
      <c r="X53" s="2644"/>
      <c r="Y53" s="926" t="s">
        <v>37</v>
      </c>
      <c r="Z53" s="641"/>
      <c r="AA53" s="662"/>
      <c r="AB53" s="2653"/>
      <c r="AC53" s="2653"/>
      <c r="AD53" s="2653"/>
      <c r="AE53" s="2653"/>
      <c r="AF53" s="2653"/>
      <c r="AG53" s="2653"/>
      <c r="AH53" s="2653"/>
      <c r="AI53" s="2653"/>
      <c r="AJ53" s="2653"/>
      <c r="AK53" s="650"/>
      <c r="AL53" s="2649"/>
      <c r="AM53" s="2649"/>
      <c r="AN53" s="2649"/>
      <c r="AO53" s="2649"/>
      <c r="AP53" s="2649"/>
      <c r="AQ53" s="538" t="s">
        <v>276</v>
      </c>
      <c r="AR53" s="2651"/>
      <c r="AS53" s="2651"/>
      <c r="AT53" s="2651"/>
      <c r="AU53" s="538" t="s">
        <v>274</v>
      </c>
      <c r="AV53" s="538" t="s">
        <v>122</v>
      </c>
      <c r="AW53" s="2651"/>
      <c r="AX53" s="2651"/>
      <c r="AY53" s="538" t="s">
        <v>37</v>
      </c>
      <c r="AZ53" s="660"/>
    </row>
    <row r="54" spans="1:52" ht="14.25" customHeight="1">
      <c r="A54" s="651"/>
      <c r="B54" s="652"/>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1"/>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63"/>
    </row>
    <row r="55" spans="1:52" ht="14.25" customHeight="1">
      <c r="A55" s="653"/>
      <c r="B55" s="654"/>
      <c r="C55" s="654"/>
      <c r="D55" s="654"/>
      <c r="E55" s="654"/>
      <c r="F55" s="654"/>
      <c r="G55" s="654"/>
      <c r="H55" s="654"/>
      <c r="I55" s="654"/>
      <c r="J55" s="654"/>
      <c r="K55" s="654"/>
      <c r="L55" s="654"/>
      <c r="M55" s="654"/>
      <c r="N55" s="654"/>
      <c r="O55" s="654"/>
      <c r="P55" s="654"/>
      <c r="Q55" s="654"/>
      <c r="R55" s="654"/>
      <c r="S55" s="654"/>
      <c r="T55" s="654"/>
      <c r="U55" s="654"/>
      <c r="V55" s="654"/>
      <c r="W55" s="654"/>
      <c r="X55" s="654"/>
      <c r="Y55" s="654"/>
      <c r="Z55" s="654"/>
      <c r="AA55" s="42"/>
      <c r="AB55" s="43"/>
      <c r="AC55" s="43"/>
      <c r="AD55" s="43"/>
      <c r="AE55" s="43"/>
      <c r="AF55" s="43"/>
      <c r="AG55" s="43"/>
      <c r="AH55" s="43"/>
      <c r="AI55" s="43"/>
      <c r="AJ55" s="44"/>
      <c r="AK55" s="44"/>
      <c r="AL55" s="44"/>
      <c r="AM55" s="44"/>
      <c r="AN55" s="44"/>
      <c r="AO55" s="44"/>
      <c r="AP55" s="44"/>
      <c r="AQ55" s="44"/>
      <c r="AR55" s="44"/>
      <c r="AS55" s="44"/>
      <c r="AT55" s="44"/>
      <c r="AU55" s="44"/>
      <c r="AV55" s="44"/>
      <c r="AW55" s="44"/>
      <c r="AX55" s="44"/>
      <c r="AY55" s="44"/>
      <c r="AZ55" s="44"/>
    </row>
    <row r="56" spans="1:52" ht="14.25" customHeight="1">
      <c r="A56" s="42"/>
      <c r="B56" s="43"/>
      <c r="C56" s="43"/>
      <c r="D56" s="43"/>
      <c r="E56" s="43"/>
      <c r="F56" s="43"/>
      <c r="G56" s="43"/>
      <c r="H56" s="43"/>
      <c r="I56" s="43"/>
      <c r="J56" s="44"/>
      <c r="K56" s="44"/>
      <c r="L56" s="44"/>
      <c r="M56" s="44"/>
      <c r="N56" s="44"/>
      <c r="O56" s="44"/>
      <c r="P56" s="44"/>
      <c r="Q56" s="44"/>
      <c r="R56" s="44"/>
      <c r="S56" s="44"/>
      <c r="T56" s="44"/>
      <c r="U56" s="44"/>
      <c r="V56" s="44"/>
      <c r="W56" s="44"/>
      <c r="X56" s="44"/>
      <c r="Y56" s="44"/>
      <c r="Z56" s="44"/>
      <c r="AA56" s="42"/>
      <c r="AB56" s="43"/>
      <c r="AC56" s="43"/>
      <c r="AD56" s="43"/>
      <c r="AE56" s="43"/>
      <c r="AF56" s="43"/>
      <c r="AG56" s="43"/>
      <c r="AH56" s="43"/>
      <c r="AI56" s="43"/>
      <c r="AJ56" s="44"/>
      <c r="AK56" s="44"/>
      <c r="AL56" s="44"/>
      <c r="AM56" s="44"/>
      <c r="AN56" s="44"/>
      <c r="AO56" s="44"/>
      <c r="AP56" s="44"/>
      <c r="AQ56" s="44"/>
      <c r="AR56" s="44"/>
      <c r="AS56" s="44"/>
      <c r="AT56" s="44"/>
      <c r="AU56" s="44"/>
      <c r="AV56" s="44"/>
      <c r="AW56" s="44"/>
      <c r="AX56" s="44"/>
      <c r="AY56" s="44"/>
      <c r="AZ56" s="44"/>
    </row>
    <row r="57" spans="1:52" ht="14.25" customHeight="1">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5"/>
      <c r="AB57" s="46"/>
      <c r="AC57" s="46"/>
      <c r="AD57" s="46"/>
      <c r="AE57" s="46"/>
      <c r="AF57" s="46"/>
      <c r="AG57" s="46"/>
      <c r="AH57" s="364"/>
      <c r="AI57" s="46"/>
      <c r="AJ57" s="46"/>
      <c r="AK57" s="46"/>
      <c r="AL57" s="46"/>
      <c r="AM57" s="46"/>
      <c r="AN57" s="46"/>
      <c r="AO57" s="46"/>
      <c r="AP57" s="46"/>
      <c r="AQ57" s="46"/>
      <c r="AR57" s="46"/>
      <c r="AS57" s="46"/>
      <c r="AT57" s="46"/>
      <c r="AU57" s="46"/>
      <c r="AV57" s="46"/>
      <c r="AW57" s="46"/>
      <c r="AX57" s="46"/>
      <c r="AY57" s="46"/>
      <c r="AZ57" s="46"/>
    </row>
    <row r="58" spans="1:52" ht="14.25" customHeight="1">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5"/>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2" ht="14.25" customHeight="1">
      <c r="A59" s="4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5"/>
      <c r="AK59" s="46"/>
      <c r="AL59" s="46"/>
      <c r="AM59" s="46"/>
      <c r="AN59" s="46"/>
      <c r="AO59" s="46"/>
      <c r="AP59" s="46"/>
      <c r="AQ59" s="46"/>
      <c r="AR59" s="46"/>
      <c r="AS59" s="46"/>
      <c r="AT59" s="46"/>
      <c r="AU59" s="46"/>
      <c r="AV59" s="46"/>
      <c r="AW59" s="46"/>
      <c r="AX59" s="46"/>
      <c r="AY59" s="46"/>
      <c r="AZ59" s="46"/>
    </row>
    <row r="60" spans="1:52" ht="14.25" customHeight="1">
      <c r="A60" s="4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5"/>
      <c r="AK60" s="46"/>
      <c r="AL60" s="46"/>
      <c r="AM60" s="46"/>
      <c r="AN60" s="46"/>
      <c r="AO60" s="46"/>
      <c r="AP60" s="46"/>
      <c r="AQ60" s="46"/>
      <c r="AR60" s="46"/>
      <c r="AS60" s="46"/>
      <c r="AT60" s="46"/>
      <c r="AU60" s="46"/>
      <c r="AV60" s="46"/>
      <c r="AW60" s="46"/>
      <c r="AX60" s="46"/>
      <c r="AY60" s="46"/>
      <c r="AZ60" s="46"/>
    </row>
    <row r="61" spans="1:52" ht="14.25" customHeight="1">
      <c r="A61" s="4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5"/>
      <c r="AK61" s="46"/>
      <c r="AL61" s="46"/>
      <c r="AM61" s="46"/>
      <c r="AN61" s="46"/>
      <c r="AO61" s="46"/>
      <c r="AP61" s="46"/>
      <c r="AQ61" s="46"/>
      <c r="AR61" s="46"/>
      <c r="AS61" s="46"/>
      <c r="AT61" s="46"/>
      <c r="AU61" s="46"/>
      <c r="AV61" s="46"/>
      <c r="AW61" s="46"/>
      <c r="AX61" s="46"/>
      <c r="AY61" s="46"/>
      <c r="AZ61" s="46"/>
    </row>
    <row r="62" spans="1:52" ht="14.25" customHeight="1">
      <c r="A62" s="4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5"/>
      <c r="AK62" s="46"/>
      <c r="AL62" s="46"/>
      <c r="AM62" s="46"/>
      <c r="AN62" s="46"/>
      <c r="AO62" s="46"/>
      <c r="AP62" s="46"/>
      <c r="AQ62" s="46"/>
      <c r="AR62" s="46"/>
      <c r="AS62" s="46"/>
      <c r="AT62" s="46"/>
      <c r="AU62" s="46"/>
      <c r="AV62" s="46"/>
      <c r="AW62" s="46"/>
      <c r="AX62" s="46"/>
      <c r="AY62" s="46"/>
      <c r="AZ62" s="46"/>
    </row>
    <row r="63" spans="1:52" ht="14.25">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5"/>
      <c r="AK63" s="46"/>
      <c r="AL63" s="46"/>
      <c r="AM63" s="46"/>
      <c r="AN63" s="46"/>
      <c r="AO63" s="46"/>
      <c r="AP63" s="46"/>
      <c r="AQ63" s="46"/>
      <c r="AR63" s="46"/>
      <c r="AS63" s="46"/>
      <c r="AT63" s="46"/>
      <c r="AU63" s="46"/>
      <c r="AV63" s="46"/>
      <c r="AW63" s="46"/>
      <c r="AX63" s="46"/>
      <c r="AY63" s="46"/>
      <c r="AZ63" s="46"/>
    </row>
    <row r="64" spans="1:52" ht="14.25">
      <c r="A64" s="43"/>
      <c r="B64" s="43"/>
      <c r="C64" s="43"/>
      <c r="D64" s="43"/>
      <c r="E64" s="43"/>
      <c r="F64" s="43"/>
      <c r="G64" s="43"/>
      <c r="H64" s="43"/>
      <c r="I64" s="43"/>
      <c r="J64" s="44"/>
      <c r="K64" s="44"/>
      <c r="L64" s="44"/>
      <c r="M64" s="44"/>
      <c r="N64" s="44"/>
      <c r="O64" s="44"/>
      <c r="P64" s="44"/>
      <c r="Q64" s="44"/>
      <c r="R64" s="44"/>
      <c r="S64" s="44"/>
      <c r="T64" s="44"/>
      <c r="U64" s="44"/>
      <c r="V64" s="44"/>
      <c r="W64" s="44"/>
      <c r="X64" s="44"/>
      <c r="Y64" s="44"/>
      <c r="Z64" s="44"/>
      <c r="AA64" s="43"/>
      <c r="AK64" s="44"/>
      <c r="AL64" s="44"/>
      <c r="AM64" s="44"/>
      <c r="AN64" s="44"/>
      <c r="AO64" s="44"/>
      <c r="AP64" s="44"/>
      <c r="AQ64" s="44"/>
      <c r="AR64" s="44"/>
      <c r="AS64" s="44"/>
      <c r="AT64" s="44"/>
      <c r="AU64" s="44"/>
      <c r="AV64" s="44"/>
      <c r="AW64" s="44"/>
      <c r="AX64" s="44"/>
      <c r="AY64" s="44"/>
      <c r="AZ64" s="44"/>
    </row>
    <row r="65" spans="1:52" ht="14.25">
      <c r="A65" s="43"/>
      <c r="B65" s="43"/>
      <c r="C65" s="43"/>
      <c r="D65" s="43"/>
      <c r="E65" s="43"/>
      <c r="F65" s="43"/>
      <c r="G65" s="43"/>
      <c r="H65" s="43"/>
      <c r="I65" s="43"/>
      <c r="J65" s="44"/>
      <c r="K65" s="44"/>
      <c r="L65" s="44"/>
      <c r="M65" s="44"/>
      <c r="N65" s="44"/>
      <c r="O65" s="44"/>
      <c r="P65" s="44"/>
      <c r="Q65" s="44"/>
      <c r="R65" s="44"/>
      <c r="S65" s="44"/>
      <c r="T65" s="44"/>
      <c r="U65" s="44"/>
      <c r="V65" s="44"/>
      <c r="W65" s="44"/>
      <c r="X65" s="44"/>
      <c r="Y65" s="44"/>
      <c r="Z65" s="44"/>
      <c r="AA65" s="43"/>
      <c r="AB65" s="43"/>
      <c r="AC65" s="43"/>
      <c r="AD65" s="43"/>
      <c r="AE65" s="43"/>
      <c r="AF65" s="43"/>
      <c r="AG65" s="43"/>
      <c r="AH65" s="43"/>
      <c r="AI65" s="43"/>
      <c r="AJ65" s="44"/>
      <c r="AK65" s="44"/>
      <c r="AL65" s="44"/>
      <c r="AM65" s="44"/>
      <c r="AN65" s="44"/>
      <c r="AO65" s="44"/>
      <c r="AP65" s="44"/>
      <c r="AQ65" s="44"/>
      <c r="AR65" s="44"/>
      <c r="AS65" s="44"/>
      <c r="AT65" s="44"/>
      <c r="AU65" s="44"/>
      <c r="AV65" s="44"/>
      <c r="AW65" s="44"/>
      <c r="AX65" s="44"/>
      <c r="AY65" s="44"/>
      <c r="AZ65" s="44"/>
    </row>
    <row r="66" spans="1:52" ht="14.25">
      <c r="A66" s="43"/>
      <c r="B66" s="43"/>
      <c r="C66" s="43"/>
      <c r="D66" s="43"/>
      <c r="E66" s="43"/>
      <c r="F66" s="43"/>
      <c r="G66" s="43"/>
      <c r="H66" s="43"/>
      <c r="I66" s="43"/>
      <c r="J66" s="44"/>
      <c r="K66" s="44"/>
      <c r="L66" s="44"/>
      <c r="M66" s="44"/>
      <c r="N66" s="44"/>
      <c r="O66" s="44"/>
      <c r="P66" s="44"/>
      <c r="Q66" s="44"/>
      <c r="R66" s="44"/>
      <c r="S66" s="44"/>
      <c r="T66" s="44"/>
      <c r="U66" s="44"/>
      <c r="V66" s="44"/>
      <c r="W66" s="44"/>
      <c r="X66" s="44"/>
      <c r="Y66" s="44"/>
      <c r="Z66" s="44"/>
      <c r="AA66" s="43"/>
      <c r="AB66" s="43"/>
      <c r="AC66" s="43"/>
      <c r="AD66" s="43"/>
      <c r="AE66" s="43"/>
      <c r="AF66" s="43"/>
      <c r="AG66" s="43"/>
      <c r="AH66" s="43"/>
      <c r="AI66" s="43"/>
      <c r="AJ66" s="44"/>
      <c r="AK66" s="44"/>
      <c r="AL66" s="44"/>
      <c r="AM66" s="44"/>
      <c r="AN66" s="44"/>
      <c r="AO66" s="44"/>
      <c r="AP66" s="44"/>
      <c r="AQ66" s="44"/>
      <c r="AR66" s="44"/>
      <c r="AS66" s="44"/>
      <c r="AT66" s="44"/>
      <c r="AU66" s="44"/>
      <c r="AV66" s="44"/>
      <c r="AW66" s="44"/>
      <c r="AX66" s="44"/>
      <c r="AY66" s="44"/>
      <c r="AZ66" s="44"/>
    </row>
    <row r="67" spans="1:52" ht="14.25">
      <c r="A67" s="43"/>
      <c r="B67" s="43"/>
      <c r="C67" s="43"/>
      <c r="D67" s="43"/>
      <c r="E67" s="43"/>
      <c r="F67" s="43"/>
      <c r="G67" s="43"/>
      <c r="H67" s="43"/>
      <c r="I67" s="43"/>
      <c r="J67" s="44"/>
      <c r="K67" s="44"/>
      <c r="L67" s="44"/>
      <c r="M67" s="44"/>
      <c r="N67" s="44"/>
      <c r="O67" s="44"/>
      <c r="P67" s="44"/>
      <c r="Q67" s="44"/>
      <c r="R67" s="44"/>
      <c r="S67" s="44"/>
      <c r="T67" s="44"/>
      <c r="U67" s="44"/>
      <c r="V67" s="44"/>
      <c r="W67" s="44"/>
      <c r="X67" s="44"/>
      <c r="Y67" s="44"/>
      <c r="Z67" s="44"/>
      <c r="AA67" s="43"/>
      <c r="AB67" s="43"/>
      <c r="AC67" s="43"/>
      <c r="AD67" s="43"/>
      <c r="AE67" s="43"/>
      <c r="AF67" s="43"/>
      <c r="AG67" s="43"/>
      <c r="AH67" s="43"/>
      <c r="AI67" s="43"/>
      <c r="AJ67" s="44"/>
      <c r="AK67" s="44"/>
      <c r="AL67" s="44"/>
      <c r="AM67" s="44"/>
      <c r="AN67" s="44"/>
      <c r="AO67" s="44"/>
      <c r="AP67" s="44"/>
      <c r="AQ67" s="44"/>
      <c r="AR67" s="44"/>
      <c r="AS67" s="44"/>
      <c r="AT67" s="44"/>
      <c r="AU67" s="44"/>
      <c r="AV67" s="44"/>
      <c r="AW67" s="44"/>
      <c r="AX67" s="44"/>
      <c r="AY67" s="44"/>
      <c r="AZ67" s="44"/>
    </row>
    <row r="68" spans="1:52" ht="14.25">
      <c r="A68" s="43"/>
      <c r="B68" s="43"/>
      <c r="C68" s="43"/>
      <c r="D68" s="43"/>
      <c r="E68" s="43"/>
      <c r="F68" s="43"/>
      <c r="G68" s="43"/>
      <c r="H68" s="43"/>
      <c r="I68" s="43"/>
      <c r="J68" s="44"/>
      <c r="K68" s="44"/>
      <c r="L68" s="44"/>
      <c r="M68" s="44"/>
      <c r="N68" s="44"/>
      <c r="O68" s="44"/>
      <c r="P68" s="44"/>
      <c r="Q68" s="44"/>
      <c r="R68" s="44"/>
      <c r="S68" s="44"/>
      <c r="T68" s="44"/>
      <c r="U68" s="44"/>
      <c r="V68" s="44"/>
      <c r="W68" s="44"/>
      <c r="X68" s="44"/>
      <c r="Y68" s="44"/>
      <c r="Z68" s="44"/>
      <c r="AA68" s="43"/>
      <c r="AB68" s="43"/>
      <c r="AC68" s="43"/>
      <c r="AD68" s="43"/>
      <c r="AE68" s="43"/>
      <c r="AF68" s="43"/>
      <c r="AG68" s="43"/>
      <c r="AH68" s="43"/>
      <c r="AI68" s="43"/>
      <c r="AJ68" s="44"/>
      <c r="AK68" s="44"/>
      <c r="AL68" s="44"/>
      <c r="AM68" s="44"/>
      <c r="AN68" s="44"/>
      <c r="AO68" s="44"/>
      <c r="AP68" s="44"/>
      <c r="AQ68" s="44"/>
      <c r="AR68" s="44"/>
      <c r="AS68" s="44"/>
      <c r="AT68" s="44"/>
      <c r="AU68" s="44"/>
      <c r="AV68" s="44"/>
      <c r="AW68" s="44"/>
      <c r="AX68" s="44"/>
      <c r="AY68" s="44"/>
      <c r="AZ68" s="44"/>
    </row>
    <row r="69" spans="1:52" ht="14.25">
      <c r="A69" s="43"/>
      <c r="B69" s="43"/>
      <c r="C69" s="43"/>
      <c r="D69" s="43"/>
      <c r="E69" s="43"/>
      <c r="F69" s="43"/>
      <c r="G69" s="43"/>
      <c r="H69" s="43"/>
      <c r="I69" s="43"/>
      <c r="J69" s="44"/>
      <c r="K69" s="44"/>
      <c r="L69" s="44"/>
      <c r="M69" s="44"/>
      <c r="N69" s="44"/>
      <c r="O69" s="44"/>
      <c r="P69" s="44"/>
      <c r="Q69" s="44"/>
      <c r="R69" s="44"/>
      <c r="S69" s="44"/>
      <c r="T69" s="44"/>
      <c r="U69" s="44"/>
      <c r="V69" s="44"/>
      <c r="W69" s="44"/>
      <c r="X69" s="44"/>
      <c r="Y69" s="44"/>
      <c r="Z69" s="44"/>
      <c r="AA69" s="43"/>
      <c r="AB69" s="43"/>
      <c r="AC69" s="43"/>
      <c r="AD69" s="43"/>
      <c r="AE69" s="43"/>
      <c r="AF69" s="43"/>
      <c r="AG69" s="43"/>
      <c r="AH69" s="43"/>
      <c r="AI69" s="43"/>
      <c r="AJ69" s="44"/>
      <c r="AK69" s="44"/>
      <c r="AL69" s="44"/>
      <c r="AM69" s="44"/>
      <c r="AN69" s="44"/>
      <c r="AO69" s="44"/>
      <c r="AP69" s="44"/>
      <c r="AQ69" s="44"/>
      <c r="AR69" s="44"/>
      <c r="AS69" s="44"/>
      <c r="AT69" s="44"/>
      <c r="AU69" s="44"/>
      <c r="AV69" s="44"/>
      <c r="AW69" s="44"/>
      <c r="AX69" s="44"/>
      <c r="AY69" s="44"/>
      <c r="AZ69" s="44"/>
    </row>
    <row r="70" spans="1:52" ht="14.25">
      <c r="A70" s="43"/>
      <c r="B70" s="43"/>
      <c r="C70" s="43"/>
      <c r="D70" s="43"/>
      <c r="E70" s="43"/>
      <c r="F70" s="43"/>
      <c r="G70" s="43"/>
      <c r="H70" s="43"/>
      <c r="I70" s="43"/>
      <c r="J70" s="44"/>
      <c r="K70" s="44"/>
      <c r="L70" s="44"/>
      <c r="M70" s="44"/>
      <c r="N70" s="44"/>
      <c r="O70" s="44"/>
      <c r="P70" s="44"/>
      <c r="Q70" s="44"/>
      <c r="R70" s="44"/>
      <c r="S70" s="44"/>
      <c r="T70" s="44"/>
      <c r="U70" s="44"/>
      <c r="V70" s="44"/>
      <c r="W70" s="44"/>
      <c r="X70" s="44"/>
      <c r="Y70" s="44"/>
      <c r="Z70" s="44"/>
      <c r="AA70" s="43"/>
      <c r="AB70" s="43"/>
      <c r="AC70" s="43"/>
      <c r="AD70" s="43"/>
      <c r="AE70" s="43"/>
      <c r="AF70" s="43"/>
      <c r="AG70" s="43"/>
      <c r="AH70" s="43"/>
      <c r="AI70" s="43"/>
      <c r="AJ70" s="44"/>
      <c r="AK70" s="44"/>
      <c r="AL70" s="44"/>
      <c r="AM70" s="44"/>
      <c r="AN70" s="44"/>
      <c r="AO70" s="44"/>
      <c r="AP70" s="44"/>
      <c r="AQ70" s="44"/>
      <c r="AR70" s="44"/>
      <c r="AS70" s="44"/>
      <c r="AT70" s="44"/>
      <c r="AU70" s="44"/>
      <c r="AV70" s="44"/>
      <c r="AW70" s="44"/>
      <c r="AX70" s="44"/>
      <c r="AY70" s="44"/>
      <c r="AZ70" s="44"/>
    </row>
    <row r="71" spans="1:52" ht="14.25">
      <c r="A71" s="43"/>
      <c r="B71" s="43"/>
      <c r="C71" s="43"/>
      <c r="D71" s="43"/>
      <c r="E71" s="43"/>
      <c r="F71" s="43"/>
      <c r="G71" s="43"/>
      <c r="H71" s="43"/>
      <c r="I71" s="43"/>
      <c r="J71" s="44"/>
      <c r="K71" s="44"/>
      <c r="L71" s="44"/>
      <c r="M71" s="44"/>
      <c r="N71" s="44"/>
      <c r="O71" s="44"/>
      <c r="P71" s="44"/>
      <c r="Q71" s="44"/>
      <c r="R71" s="44"/>
      <c r="S71" s="44"/>
      <c r="T71" s="44"/>
      <c r="U71" s="44"/>
      <c r="V71" s="44"/>
      <c r="W71" s="44"/>
      <c r="X71" s="44"/>
      <c r="Y71" s="44"/>
      <c r="Z71" s="44"/>
      <c r="AA71" s="43"/>
      <c r="AB71" s="43"/>
      <c r="AC71" s="43"/>
      <c r="AD71" s="43"/>
      <c r="AE71" s="43"/>
      <c r="AF71" s="43"/>
      <c r="AG71" s="43"/>
      <c r="AH71" s="43"/>
      <c r="AI71" s="43"/>
      <c r="AJ71" s="44"/>
      <c r="AK71" s="44"/>
      <c r="AL71" s="44"/>
      <c r="AM71" s="44"/>
      <c r="AN71" s="44"/>
      <c r="AO71" s="44"/>
      <c r="AP71" s="44"/>
      <c r="AQ71" s="44"/>
      <c r="AR71" s="44"/>
      <c r="AS71" s="44"/>
      <c r="AT71" s="44"/>
      <c r="AU71" s="44"/>
      <c r="AV71" s="44"/>
      <c r="AW71" s="44"/>
      <c r="AX71" s="44"/>
      <c r="AY71" s="44"/>
      <c r="AZ71" s="44"/>
    </row>
    <row r="72" spans="1:52" ht="14.25">
      <c r="A72" s="43"/>
      <c r="B72" s="43"/>
      <c r="C72" s="43"/>
      <c r="D72" s="43"/>
      <c r="E72" s="43"/>
      <c r="F72" s="43"/>
      <c r="G72" s="43"/>
      <c r="H72" s="43"/>
      <c r="I72" s="43"/>
      <c r="J72" s="44"/>
      <c r="K72" s="44"/>
      <c r="L72" s="44"/>
      <c r="M72" s="44"/>
      <c r="N72" s="44"/>
      <c r="O72" s="44"/>
      <c r="P72" s="44"/>
      <c r="Q72" s="44"/>
      <c r="R72" s="44"/>
      <c r="S72" s="44"/>
      <c r="T72" s="44"/>
      <c r="U72" s="44"/>
      <c r="V72" s="44"/>
      <c r="W72" s="44"/>
      <c r="X72" s="44"/>
      <c r="Y72" s="44"/>
      <c r="Z72" s="44"/>
      <c r="AA72" s="43"/>
      <c r="AB72" s="43"/>
      <c r="AC72" s="43"/>
      <c r="AD72" s="43"/>
      <c r="AE72" s="43"/>
      <c r="AF72" s="43"/>
      <c r="AG72" s="43"/>
      <c r="AH72" s="43"/>
      <c r="AI72" s="43"/>
      <c r="AJ72" s="44"/>
      <c r="AK72" s="44"/>
      <c r="AL72" s="44"/>
      <c r="AM72" s="44"/>
      <c r="AN72" s="44"/>
      <c r="AO72" s="44"/>
      <c r="AP72" s="44"/>
      <c r="AQ72" s="44"/>
      <c r="AR72" s="44"/>
      <c r="AS72" s="44"/>
      <c r="AT72" s="44"/>
      <c r="AU72" s="44"/>
      <c r="AV72" s="44"/>
      <c r="AW72" s="44"/>
      <c r="AX72" s="44"/>
      <c r="AY72" s="44"/>
      <c r="AZ72" s="44"/>
    </row>
    <row r="73" spans="1:52" ht="14.25">
      <c r="A73" s="43"/>
      <c r="B73" s="43"/>
      <c r="C73" s="43"/>
      <c r="D73" s="43"/>
      <c r="E73" s="43"/>
      <c r="F73" s="43"/>
      <c r="G73" s="43"/>
      <c r="H73" s="43"/>
      <c r="I73" s="43"/>
      <c r="J73" s="44"/>
      <c r="K73" s="44"/>
      <c r="L73" s="44"/>
      <c r="M73" s="44"/>
      <c r="N73" s="44"/>
      <c r="O73" s="44"/>
      <c r="P73" s="44"/>
      <c r="Q73" s="44"/>
      <c r="R73" s="44"/>
      <c r="S73" s="44"/>
      <c r="T73" s="44"/>
      <c r="U73" s="44"/>
      <c r="V73" s="44"/>
      <c r="W73" s="44"/>
      <c r="X73" s="44"/>
      <c r="Y73" s="44"/>
      <c r="Z73" s="44"/>
      <c r="AA73" s="43"/>
      <c r="AB73" s="43"/>
      <c r="AC73" s="43"/>
      <c r="AD73" s="43"/>
      <c r="AE73" s="43"/>
      <c r="AF73" s="43"/>
      <c r="AG73" s="43"/>
      <c r="AH73" s="43"/>
      <c r="AI73" s="43"/>
      <c r="AJ73" s="44"/>
      <c r="AK73" s="44"/>
      <c r="AL73" s="44"/>
      <c r="AM73" s="44"/>
      <c r="AN73" s="44"/>
      <c r="AO73" s="44"/>
      <c r="AP73" s="44"/>
      <c r="AQ73" s="44"/>
      <c r="AR73" s="44"/>
      <c r="AS73" s="44"/>
      <c r="AT73" s="44"/>
      <c r="AU73" s="44"/>
      <c r="AV73" s="44"/>
      <c r="AW73" s="44"/>
      <c r="AX73" s="44"/>
      <c r="AY73" s="44"/>
      <c r="AZ73" s="44"/>
    </row>
    <row r="74" spans="1:52" ht="14.25">
      <c r="A74" s="43"/>
      <c r="B74" s="43"/>
      <c r="C74" s="43"/>
      <c r="D74" s="43"/>
      <c r="E74" s="43"/>
      <c r="F74" s="43"/>
      <c r="G74" s="43"/>
      <c r="H74" s="43"/>
      <c r="I74" s="43"/>
      <c r="J74" s="44"/>
      <c r="K74" s="44"/>
      <c r="L74" s="44"/>
      <c r="M74" s="44"/>
      <c r="N74" s="44"/>
      <c r="O74" s="44"/>
      <c r="P74" s="44"/>
      <c r="Q74" s="44"/>
      <c r="R74" s="44"/>
      <c r="S74" s="44"/>
      <c r="T74" s="44"/>
      <c r="U74" s="44"/>
      <c r="V74" s="44"/>
      <c r="W74" s="44"/>
      <c r="X74" s="44"/>
      <c r="Y74" s="44"/>
      <c r="Z74" s="44"/>
      <c r="AA74" s="43"/>
      <c r="AB74" s="43"/>
      <c r="AC74" s="43"/>
      <c r="AD74" s="43"/>
      <c r="AE74" s="43"/>
      <c r="AF74" s="43"/>
      <c r="AG74" s="43"/>
      <c r="AH74" s="43"/>
      <c r="AI74" s="43"/>
      <c r="AJ74" s="44"/>
      <c r="AK74" s="44"/>
      <c r="AL74" s="44"/>
      <c r="AM74" s="44"/>
      <c r="AN74" s="44"/>
      <c r="AO74" s="44"/>
      <c r="AP74" s="44"/>
      <c r="AQ74" s="44"/>
      <c r="AR74" s="44"/>
      <c r="AS74" s="44"/>
      <c r="AT74" s="44"/>
      <c r="AU74" s="44"/>
      <c r="AV74" s="44"/>
      <c r="AW74" s="44"/>
      <c r="AX74" s="44"/>
      <c r="AY74" s="44"/>
      <c r="AZ74" s="44"/>
    </row>
    <row r="75" spans="1:52" ht="14.25">
      <c r="A75" s="43"/>
      <c r="B75" s="43"/>
      <c r="C75" s="43"/>
      <c r="D75" s="43"/>
      <c r="E75" s="43"/>
      <c r="F75" s="43"/>
      <c r="G75" s="43"/>
      <c r="H75" s="43"/>
      <c r="I75" s="43"/>
      <c r="J75" s="44"/>
      <c r="K75" s="44"/>
      <c r="L75" s="44"/>
      <c r="M75" s="44"/>
      <c r="N75" s="44"/>
      <c r="O75" s="44"/>
      <c r="P75" s="44"/>
      <c r="Q75" s="44"/>
      <c r="R75" s="44"/>
      <c r="S75" s="44"/>
      <c r="T75" s="44"/>
      <c r="U75" s="44"/>
      <c r="V75" s="44"/>
      <c r="W75" s="44"/>
      <c r="X75" s="44"/>
      <c r="Y75" s="44"/>
      <c r="Z75" s="44"/>
      <c r="AA75" s="43"/>
      <c r="AB75" s="43"/>
      <c r="AC75" s="43"/>
      <c r="AD75" s="43"/>
      <c r="AE75" s="43"/>
      <c r="AF75" s="43"/>
      <c r="AG75" s="43"/>
      <c r="AH75" s="43"/>
      <c r="AI75" s="43"/>
      <c r="AJ75" s="44"/>
      <c r="AK75" s="44"/>
      <c r="AL75" s="44"/>
      <c r="AM75" s="44"/>
      <c r="AN75" s="44"/>
      <c r="AO75" s="44"/>
      <c r="AP75" s="44"/>
      <c r="AQ75" s="44"/>
      <c r="AR75" s="44"/>
      <c r="AS75" s="44"/>
      <c r="AT75" s="44"/>
      <c r="AU75" s="44"/>
      <c r="AV75" s="44"/>
      <c r="AW75" s="44"/>
      <c r="AX75" s="44"/>
      <c r="AY75" s="44"/>
      <c r="AZ75" s="44"/>
    </row>
    <row r="76" spans="1:52" ht="14.25">
      <c r="A76" s="43"/>
      <c r="B76" s="43"/>
      <c r="C76" s="43"/>
      <c r="D76" s="43"/>
      <c r="E76" s="43"/>
      <c r="F76" s="43"/>
      <c r="G76" s="43"/>
      <c r="H76" s="43"/>
      <c r="I76" s="43"/>
      <c r="J76" s="44"/>
      <c r="K76" s="44"/>
      <c r="L76" s="44"/>
      <c r="M76" s="44"/>
      <c r="N76" s="44"/>
      <c r="O76" s="44"/>
      <c r="P76" s="44"/>
      <c r="Q76" s="44"/>
      <c r="R76" s="44"/>
      <c r="S76" s="44"/>
      <c r="T76" s="44"/>
      <c r="U76" s="44"/>
      <c r="V76" s="44"/>
      <c r="W76" s="44"/>
      <c r="X76" s="44"/>
      <c r="Y76" s="44"/>
      <c r="Z76" s="44"/>
      <c r="AA76" s="43"/>
      <c r="AB76" s="43"/>
      <c r="AC76" s="43"/>
      <c r="AD76" s="43"/>
      <c r="AE76" s="43"/>
      <c r="AF76" s="43"/>
      <c r="AG76" s="43"/>
      <c r="AH76" s="43"/>
      <c r="AI76" s="43"/>
      <c r="AJ76" s="44"/>
      <c r="AK76" s="44"/>
      <c r="AL76" s="44"/>
      <c r="AM76" s="44"/>
      <c r="AN76" s="44"/>
      <c r="AO76" s="44"/>
      <c r="AP76" s="44"/>
      <c r="AQ76" s="44"/>
      <c r="AR76" s="44"/>
      <c r="AS76" s="44"/>
      <c r="AT76" s="44"/>
      <c r="AU76" s="44"/>
      <c r="AV76" s="44"/>
      <c r="AW76" s="44"/>
      <c r="AX76" s="44"/>
      <c r="AY76" s="44"/>
      <c r="AZ76" s="44"/>
    </row>
    <row r="77" spans="1:52" ht="14.25">
      <c r="A77" s="43"/>
      <c r="B77" s="43"/>
      <c r="C77" s="43"/>
      <c r="D77" s="43"/>
      <c r="E77" s="43"/>
      <c r="F77" s="43"/>
      <c r="G77" s="43"/>
      <c r="H77" s="43"/>
      <c r="I77" s="43"/>
      <c r="J77" s="44"/>
      <c r="K77" s="44"/>
      <c r="L77" s="44"/>
      <c r="M77" s="44"/>
      <c r="N77" s="44"/>
      <c r="O77" s="44"/>
      <c r="P77" s="44"/>
      <c r="Q77" s="44"/>
      <c r="R77" s="44"/>
      <c r="S77" s="44"/>
      <c r="T77" s="44"/>
      <c r="U77" s="44"/>
      <c r="V77" s="44"/>
      <c r="W77" s="44"/>
      <c r="X77" s="44"/>
      <c r="Y77" s="44"/>
      <c r="Z77" s="44"/>
      <c r="AA77" s="43"/>
      <c r="AB77" s="43"/>
      <c r="AC77" s="43"/>
      <c r="AD77" s="43"/>
      <c r="AE77" s="43"/>
      <c r="AF77" s="43"/>
      <c r="AG77" s="43"/>
      <c r="AH77" s="43"/>
      <c r="AI77" s="43"/>
      <c r="AJ77" s="44"/>
      <c r="AK77" s="44"/>
      <c r="AL77" s="44"/>
      <c r="AM77" s="44"/>
      <c r="AN77" s="44"/>
      <c r="AO77" s="44"/>
      <c r="AP77" s="44"/>
      <c r="AQ77" s="44"/>
      <c r="AR77" s="44"/>
      <c r="AS77" s="44"/>
      <c r="AT77" s="44"/>
      <c r="AU77" s="44"/>
      <c r="AV77" s="44"/>
      <c r="AW77" s="44"/>
      <c r="AX77" s="44"/>
      <c r="AY77" s="44"/>
      <c r="AZ77" s="44"/>
    </row>
    <row r="78" spans="1:52" ht="14.25">
      <c r="A78" s="43"/>
      <c r="B78" s="43"/>
      <c r="C78" s="43"/>
      <c r="D78" s="43"/>
      <c r="E78" s="43"/>
      <c r="F78" s="43"/>
      <c r="G78" s="43"/>
      <c r="H78" s="43"/>
      <c r="I78" s="43"/>
      <c r="J78" s="44"/>
      <c r="K78" s="44"/>
      <c r="L78" s="44"/>
      <c r="M78" s="44"/>
      <c r="N78" s="44"/>
      <c r="O78" s="44"/>
      <c r="P78" s="44"/>
      <c r="Q78" s="44"/>
      <c r="R78" s="44"/>
      <c r="S78" s="44"/>
      <c r="T78" s="44"/>
      <c r="U78" s="44"/>
      <c r="V78" s="44"/>
      <c r="W78" s="44"/>
      <c r="X78" s="44"/>
      <c r="Y78" s="44"/>
      <c r="Z78" s="44"/>
      <c r="AA78" s="43"/>
      <c r="AB78" s="43"/>
      <c r="AC78" s="43"/>
      <c r="AD78" s="43"/>
      <c r="AE78" s="43"/>
      <c r="AF78" s="43"/>
      <c r="AG78" s="43"/>
      <c r="AH78" s="43"/>
      <c r="AI78" s="43"/>
      <c r="AJ78" s="44"/>
      <c r="AK78" s="44"/>
      <c r="AL78" s="44"/>
      <c r="AM78" s="44"/>
      <c r="AN78" s="44"/>
      <c r="AO78" s="44"/>
      <c r="AP78" s="44"/>
      <c r="AQ78" s="44"/>
      <c r="AR78" s="44"/>
      <c r="AS78" s="44"/>
      <c r="AT78" s="44"/>
      <c r="AU78" s="44"/>
      <c r="AV78" s="44"/>
      <c r="AW78" s="44"/>
      <c r="AX78" s="44"/>
      <c r="AY78" s="44"/>
      <c r="AZ78" s="44"/>
    </row>
    <row r="79" spans="1:52" ht="14.25">
      <c r="A79" s="43"/>
      <c r="B79" s="43"/>
      <c r="C79" s="43"/>
      <c r="D79" s="43"/>
      <c r="E79" s="43"/>
      <c r="F79" s="43"/>
      <c r="G79" s="43"/>
      <c r="H79" s="43"/>
      <c r="I79" s="43"/>
      <c r="J79" s="44"/>
      <c r="K79" s="44"/>
      <c r="L79" s="44"/>
      <c r="M79" s="44"/>
      <c r="N79" s="44"/>
      <c r="O79" s="44"/>
      <c r="P79" s="44"/>
      <c r="Q79" s="44"/>
      <c r="R79" s="44"/>
      <c r="S79" s="44"/>
      <c r="T79" s="44"/>
      <c r="U79" s="44"/>
      <c r="V79" s="44"/>
      <c r="W79" s="44"/>
      <c r="X79" s="44"/>
      <c r="Y79" s="44"/>
      <c r="Z79" s="44"/>
      <c r="AA79" s="43"/>
      <c r="AB79" s="43"/>
      <c r="AC79" s="43"/>
      <c r="AD79" s="43"/>
      <c r="AE79" s="43"/>
      <c r="AF79" s="43"/>
      <c r="AG79" s="43"/>
      <c r="AH79" s="43"/>
      <c r="AI79" s="43"/>
      <c r="AJ79" s="44"/>
      <c r="AK79" s="44"/>
      <c r="AL79" s="44"/>
      <c r="AM79" s="44"/>
      <c r="AN79" s="44"/>
      <c r="AO79" s="44"/>
      <c r="AP79" s="44"/>
      <c r="AQ79" s="44"/>
      <c r="AR79" s="44"/>
      <c r="AS79" s="44"/>
      <c r="AT79" s="44"/>
      <c r="AU79" s="44"/>
      <c r="AV79" s="44"/>
      <c r="AW79" s="44"/>
      <c r="AX79" s="44"/>
      <c r="AY79" s="44"/>
      <c r="AZ79" s="44"/>
    </row>
    <row r="80" spans="1:52" ht="14.25">
      <c r="A80" s="43"/>
      <c r="B80" s="43"/>
      <c r="C80" s="43"/>
      <c r="D80" s="43"/>
      <c r="E80" s="43"/>
      <c r="F80" s="43"/>
      <c r="G80" s="43"/>
      <c r="H80" s="43"/>
      <c r="I80" s="43"/>
      <c r="J80" s="44"/>
      <c r="K80" s="44"/>
      <c r="L80" s="44"/>
      <c r="M80" s="44"/>
      <c r="N80" s="44"/>
      <c r="O80" s="44"/>
      <c r="P80" s="44"/>
      <c r="Q80" s="44"/>
      <c r="R80" s="44"/>
      <c r="S80" s="44"/>
      <c r="T80" s="44"/>
      <c r="U80" s="44"/>
      <c r="V80" s="44"/>
      <c r="W80" s="44"/>
      <c r="X80" s="44"/>
      <c r="Y80" s="44"/>
      <c r="Z80" s="44"/>
      <c r="AA80" s="43"/>
      <c r="AB80" s="43"/>
      <c r="AC80" s="43"/>
      <c r="AD80" s="43"/>
      <c r="AE80" s="43"/>
      <c r="AF80" s="43"/>
      <c r="AG80" s="43"/>
      <c r="AH80" s="43"/>
      <c r="AI80" s="43"/>
      <c r="AJ80" s="44"/>
      <c r="AK80" s="44"/>
      <c r="AL80" s="44"/>
      <c r="AM80" s="44"/>
      <c r="AN80" s="44"/>
      <c r="AO80" s="44"/>
      <c r="AP80" s="44"/>
      <c r="AQ80" s="44"/>
      <c r="AR80" s="44"/>
      <c r="AS80" s="44"/>
      <c r="AT80" s="44"/>
      <c r="AU80" s="44"/>
      <c r="AV80" s="44"/>
      <c r="AW80" s="44"/>
      <c r="AX80" s="44"/>
      <c r="AY80" s="44"/>
      <c r="AZ80" s="44"/>
    </row>
    <row r="81" spans="1:52" ht="14.25">
      <c r="A81" s="43"/>
      <c r="B81" s="43"/>
      <c r="C81" s="43"/>
      <c r="D81" s="43"/>
      <c r="E81" s="43"/>
      <c r="F81" s="43"/>
      <c r="G81" s="43"/>
      <c r="H81" s="43"/>
      <c r="I81" s="43"/>
      <c r="J81" s="44"/>
      <c r="K81" s="44"/>
      <c r="L81" s="44"/>
      <c r="M81" s="44"/>
      <c r="N81" s="44"/>
      <c r="O81" s="44"/>
      <c r="P81" s="44"/>
      <c r="Q81" s="44"/>
      <c r="R81" s="44"/>
      <c r="S81" s="44"/>
      <c r="T81" s="44"/>
      <c r="U81" s="44"/>
      <c r="V81" s="44"/>
      <c r="W81" s="44"/>
      <c r="X81" s="44"/>
      <c r="Y81" s="44"/>
      <c r="Z81" s="44"/>
      <c r="AA81" s="43"/>
      <c r="AB81" s="43"/>
      <c r="AC81" s="43"/>
      <c r="AD81" s="43"/>
      <c r="AE81" s="43"/>
      <c r="AF81" s="43"/>
      <c r="AG81" s="43"/>
      <c r="AH81" s="43"/>
      <c r="AI81" s="43"/>
      <c r="AJ81" s="44"/>
      <c r="AK81" s="44"/>
      <c r="AL81" s="44"/>
      <c r="AM81" s="44"/>
      <c r="AN81" s="44"/>
      <c r="AO81" s="44"/>
      <c r="AP81" s="44"/>
      <c r="AQ81" s="44"/>
      <c r="AR81" s="44"/>
      <c r="AS81" s="44"/>
      <c r="AT81" s="44"/>
      <c r="AU81" s="44"/>
      <c r="AV81" s="44"/>
      <c r="AW81" s="44"/>
      <c r="AX81" s="44"/>
      <c r="AY81" s="44"/>
      <c r="AZ81" s="44"/>
    </row>
    <row r="82" spans="1:52" ht="14.25">
      <c r="A82" s="43"/>
      <c r="B82" s="43"/>
      <c r="C82" s="43"/>
      <c r="D82" s="43"/>
      <c r="E82" s="43"/>
      <c r="F82" s="43"/>
      <c r="G82" s="43"/>
      <c r="H82" s="43"/>
      <c r="I82" s="43"/>
      <c r="J82" s="44"/>
      <c r="K82" s="44"/>
      <c r="L82" s="44"/>
      <c r="M82" s="44"/>
      <c r="N82" s="44"/>
      <c r="O82" s="44"/>
      <c r="P82" s="44"/>
      <c r="Q82" s="44"/>
      <c r="R82" s="44"/>
      <c r="S82" s="44"/>
      <c r="T82" s="44"/>
      <c r="U82" s="44"/>
      <c r="V82" s="44"/>
      <c r="W82" s="44"/>
      <c r="X82" s="44"/>
      <c r="Y82" s="44"/>
      <c r="Z82" s="44"/>
      <c r="AA82" s="43"/>
      <c r="AB82" s="43"/>
      <c r="AC82" s="43"/>
      <c r="AD82" s="43"/>
      <c r="AE82" s="43"/>
      <c r="AF82" s="43"/>
      <c r="AG82" s="43"/>
      <c r="AH82" s="43"/>
      <c r="AI82" s="43"/>
      <c r="AJ82" s="44"/>
      <c r="AK82" s="44"/>
      <c r="AL82" s="44"/>
      <c r="AM82" s="44"/>
      <c r="AN82" s="44"/>
      <c r="AO82" s="44"/>
      <c r="AP82" s="44"/>
      <c r="AQ82" s="44"/>
      <c r="AR82" s="44"/>
      <c r="AS82" s="44"/>
      <c r="AT82" s="44"/>
      <c r="AU82" s="44"/>
      <c r="AV82" s="44"/>
      <c r="AW82" s="44"/>
      <c r="AX82" s="44"/>
      <c r="AY82" s="44"/>
      <c r="AZ82" s="44"/>
    </row>
    <row r="83" spans="1:52" ht="14.25">
      <c r="A83" s="43"/>
      <c r="B83" s="43"/>
      <c r="C83" s="43"/>
      <c r="D83" s="43"/>
      <c r="E83" s="43"/>
      <c r="F83" s="43"/>
      <c r="G83" s="43"/>
      <c r="H83" s="43"/>
      <c r="I83" s="43"/>
      <c r="J83" s="44"/>
      <c r="K83" s="44"/>
      <c r="L83" s="44"/>
      <c r="M83" s="44"/>
      <c r="N83" s="44"/>
      <c r="O83" s="44"/>
      <c r="P83" s="44"/>
      <c r="Q83" s="44"/>
      <c r="R83" s="44"/>
      <c r="S83" s="44"/>
      <c r="T83" s="44"/>
      <c r="U83" s="44"/>
      <c r="V83" s="44"/>
      <c r="W83" s="44"/>
      <c r="X83" s="44"/>
      <c r="Y83" s="44"/>
      <c r="Z83" s="44"/>
      <c r="AA83" s="43"/>
      <c r="AB83" s="43"/>
      <c r="AC83" s="43"/>
      <c r="AD83" s="43"/>
      <c r="AE83" s="43"/>
      <c r="AF83" s="43"/>
      <c r="AG83" s="43"/>
      <c r="AH83" s="43"/>
      <c r="AI83" s="43"/>
      <c r="AJ83" s="44"/>
      <c r="AK83" s="44"/>
      <c r="AL83" s="44"/>
      <c r="AM83" s="44"/>
      <c r="AN83" s="44"/>
      <c r="AO83" s="44"/>
      <c r="AP83" s="44"/>
      <c r="AQ83" s="44"/>
      <c r="AR83" s="44"/>
      <c r="AS83" s="44"/>
      <c r="AT83" s="44"/>
      <c r="AU83" s="44"/>
      <c r="AV83" s="44"/>
      <c r="AW83" s="44"/>
      <c r="AX83" s="44"/>
      <c r="AY83" s="44"/>
      <c r="AZ83" s="44"/>
    </row>
    <row r="84" spans="1:52" ht="14.25">
      <c r="A84" s="43"/>
      <c r="B84" s="43"/>
      <c r="C84" s="43"/>
      <c r="D84" s="43"/>
      <c r="E84" s="43"/>
      <c r="F84" s="43"/>
      <c r="G84" s="43"/>
      <c r="H84" s="43"/>
      <c r="I84" s="43"/>
      <c r="J84" s="44"/>
      <c r="K84" s="44"/>
      <c r="L84" s="44"/>
      <c r="M84" s="44"/>
      <c r="N84" s="44"/>
      <c r="O84" s="44"/>
      <c r="P84" s="44"/>
      <c r="Q84" s="44"/>
      <c r="R84" s="44"/>
      <c r="S84" s="44"/>
      <c r="T84" s="44"/>
      <c r="U84" s="44"/>
      <c r="V84" s="44"/>
      <c r="W84" s="44"/>
      <c r="X84" s="44"/>
      <c r="Y84" s="44"/>
      <c r="Z84" s="44"/>
      <c r="AA84" s="43"/>
      <c r="AB84" s="43"/>
      <c r="AC84" s="43"/>
      <c r="AD84" s="43"/>
      <c r="AE84" s="43"/>
      <c r="AF84" s="43"/>
      <c r="AG84" s="43"/>
      <c r="AH84" s="43"/>
      <c r="AI84" s="43"/>
      <c r="AJ84" s="44"/>
      <c r="AK84" s="44"/>
      <c r="AL84" s="44"/>
      <c r="AM84" s="44"/>
      <c r="AN84" s="44"/>
      <c r="AO84" s="44"/>
      <c r="AP84" s="44"/>
      <c r="AQ84" s="44"/>
      <c r="AR84" s="44"/>
      <c r="AS84" s="44"/>
      <c r="AT84" s="44"/>
      <c r="AU84" s="44"/>
      <c r="AV84" s="44"/>
      <c r="AW84" s="44"/>
      <c r="AX84" s="44"/>
      <c r="AY84" s="44"/>
      <c r="AZ84" s="44"/>
    </row>
    <row r="85" spans="1:52" ht="14.25">
      <c r="A85" s="43"/>
      <c r="B85" s="43"/>
      <c r="C85" s="43"/>
      <c r="D85" s="43"/>
      <c r="E85" s="43"/>
      <c r="F85" s="43"/>
      <c r="G85" s="43"/>
      <c r="H85" s="43"/>
      <c r="I85" s="43"/>
      <c r="J85" s="44"/>
      <c r="K85" s="44"/>
      <c r="L85" s="44"/>
      <c r="M85" s="44"/>
      <c r="N85" s="44"/>
      <c r="O85" s="44"/>
      <c r="P85" s="44"/>
      <c r="Q85" s="44"/>
      <c r="R85" s="44"/>
      <c r="S85" s="44"/>
      <c r="T85" s="44"/>
      <c r="U85" s="44"/>
      <c r="V85" s="44"/>
      <c r="W85" s="44"/>
      <c r="X85" s="44"/>
      <c r="Y85" s="44"/>
      <c r="Z85" s="44"/>
      <c r="AA85" s="43"/>
      <c r="AB85" s="43"/>
      <c r="AC85" s="43"/>
      <c r="AD85" s="43"/>
      <c r="AE85" s="43"/>
      <c r="AF85" s="43"/>
      <c r="AG85" s="43"/>
      <c r="AH85" s="43"/>
      <c r="AI85" s="43"/>
      <c r="AJ85" s="44"/>
      <c r="AK85" s="44"/>
      <c r="AL85" s="44"/>
      <c r="AM85" s="44"/>
      <c r="AN85" s="44"/>
      <c r="AO85" s="44"/>
      <c r="AP85" s="44"/>
      <c r="AQ85" s="44"/>
      <c r="AR85" s="44"/>
      <c r="AS85" s="44"/>
      <c r="AT85" s="44"/>
      <c r="AU85" s="44"/>
      <c r="AV85" s="44"/>
      <c r="AW85" s="44"/>
      <c r="AX85" s="44"/>
      <c r="AY85" s="44"/>
      <c r="AZ85" s="44"/>
    </row>
    <row r="86" spans="1:52" ht="14.25">
      <c r="A86" s="43"/>
      <c r="B86" s="43"/>
      <c r="C86" s="43"/>
      <c r="D86" s="43"/>
      <c r="E86" s="43"/>
      <c r="F86" s="43"/>
      <c r="G86" s="43"/>
      <c r="H86" s="43"/>
      <c r="I86" s="43"/>
      <c r="J86" s="44"/>
      <c r="K86" s="44"/>
      <c r="L86" s="44"/>
      <c r="M86" s="44"/>
      <c r="N86" s="44"/>
      <c r="O86" s="44"/>
      <c r="P86" s="44"/>
      <c r="Q86" s="44"/>
      <c r="R86" s="44"/>
      <c r="S86" s="44"/>
      <c r="T86" s="44"/>
      <c r="U86" s="44"/>
      <c r="V86" s="44"/>
      <c r="W86" s="44"/>
      <c r="X86" s="44"/>
      <c r="Y86" s="44"/>
      <c r="Z86" s="44"/>
      <c r="AA86" s="43"/>
      <c r="AB86" s="43"/>
      <c r="AC86" s="43"/>
      <c r="AD86" s="43"/>
      <c r="AE86" s="43"/>
      <c r="AF86" s="43"/>
      <c r="AG86" s="43"/>
      <c r="AH86" s="43"/>
      <c r="AI86" s="43"/>
      <c r="AJ86" s="44"/>
      <c r="AK86" s="44"/>
      <c r="AL86" s="44"/>
      <c r="AM86" s="44"/>
      <c r="AN86" s="44"/>
      <c r="AO86" s="44"/>
      <c r="AP86" s="44"/>
      <c r="AQ86" s="44"/>
      <c r="AR86" s="44"/>
      <c r="AS86" s="44"/>
      <c r="AT86" s="44"/>
      <c r="AU86" s="44"/>
      <c r="AV86" s="44"/>
      <c r="AW86" s="44"/>
      <c r="AX86" s="44"/>
      <c r="AY86" s="44"/>
      <c r="AZ86" s="44"/>
    </row>
    <row r="87" spans="1:52" ht="14.25">
      <c r="A87" s="43"/>
      <c r="B87" s="43"/>
      <c r="C87" s="43"/>
      <c r="D87" s="43"/>
      <c r="E87" s="43"/>
      <c r="F87" s="43"/>
      <c r="G87" s="43"/>
      <c r="H87" s="43"/>
      <c r="I87" s="43"/>
      <c r="J87" s="44"/>
      <c r="K87" s="44"/>
      <c r="L87" s="44"/>
      <c r="M87" s="44"/>
      <c r="N87" s="44"/>
      <c r="O87" s="44"/>
      <c r="P87" s="44"/>
      <c r="Q87" s="44"/>
      <c r="R87" s="44"/>
      <c r="S87" s="44"/>
      <c r="T87" s="44"/>
      <c r="U87" s="44"/>
      <c r="V87" s="44"/>
      <c r="W87" s="44"/>
      <c r="X87" s="44"/>
      <c r="Y87" s="44"/>
      <c r="Z87" s="44"/>
      <c r="AA87" s="43"/>
      <c r="AB87" s="43"/>
      <c r="AC87" s="43"/>
      <c r="AD87" s="43"/>
      <c r="AE87" s="43"/>
      <c r="AF87" s="43"/>
      <c r="AG87" s="43"/>
      <c r="AH87" s="43"/>
      <c r="AI87" s="43"/>
      <c r="AJ87" s="44"/>
      <c r="AK87" s="44"/>
      <c r="AL87" s="44"/>
      <c r="AM87" s="44"/>
      <c r="AN87" s="44"/>
      <c r="AO87" s="44"/>
      <c r="AP87" s="44"/>
      <c r="AQ87" s="44"/>
      <c r="AR87" s="44"/>
      <c r="AS87" s="44"/>
      <c r="AT87" s="44"/>
      <c r="AU87" s="44"/>
      <c r="AV87" s="44"/>
      <c r="AW87" s="44"/>
      <c r="AX87" s="44"/>
      <c r="AY87" s="44"/>
      <c r="AZ87" s="44"/>
    </row>
    <row r="88" spans="1:52" ht="14.25">
      <c r="A88" s="43"/>
      <c r="B88" s="43"/>
      <c r="C88" s="43"/>
      <c r="D88" s="43"/>
      <c r="E88" s="43"/>
      <c r="F88" s="43"/>
      <c r="G88" s="43"/>
      <c r="H88" s="43"/>
      <c r="I88" s="43"/>
      <c r="J88" s="44"/>
      <c r="K88" s="44"/>
      <c r="L88" s="44"/>
      <c r="M88" s="44"/>
      <c r="N88" s="44"/>
      <c r="O88" s="44"/>
      <c r="P88" s="44"/>
      <c r="Q88" s="44"/>
      <c r="R88" s="44"/>
      <c r="S88" s="44"/>
      <c r="T88" s="44"/>
      <c r="U88" s="44"/>
      <c r="V88" s="44"/>
      <c r="W88" s="44"/>
      <c r="X88" s="44"/>
      <c r="Y88" s="44"/>
      <c r="Z88" s="44"/>
      <c r="AA88" s="43"/>
      <c r="AB88" s="43"/>
      <c r="AC88" s="43"/>
      <c r="AD88" s="43"/>
      <c r="AE88" s="43"/>
      <c r="AF88" s="43"/>
      <c r="AG88" s="43"/>
      <c r="AH88" s="43"/>
      <c r="AI88" s="43"/>
      <c r="AJ88" s="44"/>
      <c r="AK88" s="44"/>
      <c r="AL88" s="44"/>
      <c r="AM88" s="44"/>
      <c r="AN88" s="44"/>
      <c r="AO88" s="44"/>
      <c r="AP88" s="44"/>
      <c r="AQ88" s="44"/>
      <c r="AR88" s="44"/>
      <c r="AS88" s="44"/>
      <c r="AT88" s="44"/>
      <c r="AU88" s="44"/>
      <c r="AV88" s="44"/>
      <c r="AW88" s="44"/>
      <c r="AX88" s="44"/>
      <c r="AY88" s="44"/>
      <c r="AZ88" s="44"/>
    </row>
    <row r="89" spans="1:52" ht="14.25">
      <c r="A89" s="43"/>
      <c r="B89" s="43"/>
      <c r="C89" s="43"/>
      <c r="D89" s="43"/>
      <c r="E89" s="43"/>
      <c r="F89" s="43"/>
      <c r="G89" s="43"/>
      <c r="H89" s="43"/>
      <c r="I89" s="43"/>
      <c r="J89" s="44"/>
      <c r="K89" s="44"/>
      <c r="L89" s="44"/>
      <c r="M89" s="44"/>
      <c r="N89" s="44"/>
      <c r="O89" s="44"/>
      <c r="P89" s="44"/>
      <c r="Q89" s="44"/>
      <c r="R89" s="44"/>
      <c r="S89" s="44"/>
      <c r="T89" s="44"/>
      <c r="U89" s="44"/>
      <c r="V89" s="44"/>
      <c r="W89" s="44"/>
      <c r="X89" s="44"/>
      <c r="Y89" s="44"/>
      <c r="Z89" s="44"/>
      <c r="AA89" s="43"/>
      <c r="AB89" s="43"/>
      <c r="AC89" s="43"/>
      <c r="AD89" s="43"/>
      <c r="AE89" s="43"/>
      <c r="AF89" s="43"/>
      <c r="AG89" s="43"/>
      <c r="AH89" s="43"/>
      <c r="AI89" s="43"/>
      <c r="AJ89" s="44"/>
      <c r="AK89" s="44"/>
      <c r="AL89" s="44"/>
      <c r="AM89" s="44"/>
      <c r="AN89" s="44"/>
      <c r="AO89" s="44"/>
      <c r="AP89" s="44"/>
      <c r="AQ89" s="44"/>
      <c r="AR89" s="44"/>
      <c r="AS89" s="44"/>
      <c r="AT89" s="44"/>
      <c r="AU89" s="44"/>
      <c r="AV89" s="44"/>
      <c r="AW89" s="44"/>
      <c r="AX89" s="44"/>
      <c r="AY89" s="44"/>
      <c r="AZ89" s="44"/>
    </row>
    <row r="90" spans="1:52" ht="14.25">
      <c r="A90" s="43"/>
      <c r="B90" s="43"/>
      <c r="C90" s="43"/>
      <c r="D90" s="43"/>
      <c r="E90" s="43"/>
      <c r="F90" s="43"/>
      <c r="G90" s="43"/>
      <c r="H90" s="43"/>
      <c r="I90" s="43"/>
      <c r="J90" s="44"/>
      <c r="K90" s="44"/>
      <c r="L90" s="44"/>
      <c r="M90" s="44"/>
      <c r="N90" s="44"/>
      <c r="O90" s="44"/>
      <c r="P90" s="44"/>
      <c r="Q90" s="44"/>
      <c r="R90" s="44"/>
      <c r="S90" s="44"/>
      <c r="T90" s="44"/>
      <c r="U90" s="44"/>
      <c r="V90" s="44"/>
      <c r="W90" s="44"/>
      <c r="X90" s="44"/>
      <c r="Y90" s="44"/>
      <c r="Z90" s="44"/>
      <c r="AA90" s="43"/>
      <c r="AB90" s="43"/>
      <c r="AC90" s="43"/>
      <c r="AD90" s="43"/>
      <c r="AE90" s="43"/>
      <c r="AF90" s="43"/>
      <c r="AG90" s="43"/>
      <c r="AH90" s="43"/>
      <c r="AI90" s="43"/>
      <c r="AJ90" s="44"/>
      <c r="AK90" s="44"/>
      <c r="AL90" s="44"/>
      <c r="AM90" s="44"/>
      <c r="AN90" s="44"/>
      <c r="AO90" s="44"/>
      <c r="AP90" s="44"/>
      <c r="AQ90" s="44"/>
      <c r="AR90" s="44"/>
      <c r="AS90" s="44"/>
      <c r="AT90" s="44"/>
      <c r="AU90" s="44"/>
      <c r="AV90" s="44"/>
      <c r="AW90" s="44"/>
      <c r="AX90" s="44"/>
      <c r="AY90" s="44"/>
      <c r="AZ90" s="44"/>
    </row>
    <row r="91" spans="1:52" ht="14.25">
      <c r="A91" s="43"/>
      <c r="B91" s="43"/>
      <c r="C91" s="43"/>
      <c r="D91" s="43"/>
      <c r="E91" s="43"/>
      <c r="F91" s="43"/>
      <c r="G91" s="43"/>
      <c r="H91" s="43"/>
      <c r="I91" s="43"/>
      <c r="J91" s="44"/>
      <c r="K91" s="44"/>
      <c r="L91" s="44"/>
      <c r="M91" s="44"/>
      <c r="N91" s="44"/>
      <c r="O91" s="44"/>
      <c r="P91" s="44"/>
      <c r="Q91" s="44"/>
      <c r="R91" s="44"/>
      <c r="S91" s="44"/>
      <c r="T91" s="44"/>
      <c r="U91" s="44"/>
      <c r="V91" s="44"/>
      <c r="W91" s="44"/>
      <c r="X91" s="44"/>
      <c r="Y91" s="44"/>
      <c r="Z91" s="44"/>
      <c r="AA91" s="43"/>
      <c r="AB91" s="43"/>
      <c r="AC91" s="43"/>
      <c r="AD91" s="43"/>
      <c r="AE91" s="43"/>
      <c r="AF91" s="43"/>
      <c r="AG91" s="43"/>
      <c r="AH91" s="43"/>
      <c r="AI91" s="43"/>
      <c r="AJ91" s="44"/>
      <c r="AK91" s="44"/>
      <c r="AL91" s="44"/>
      <c r="AM91" s="44"/>
      <c r="AN91" s="44"/>
      <c r="AO91" s="44"/>
      <c r="AP91" s="44"/>
      <c r="AQ91" s="44"/>
      <c r="AR91" s="44"/>
      <c r="AS91" s="44"/>
      <c r="AT91" s="44"/>
      <c r="AU91" s="44"/>
      <c r="AV91" s="44"/>
      <c r="AW91" s="44"/>
      <c r="AX91" s="44"/>
      <c r="AY91" s="44"/>
      <c r="AZ91" s="44"/>
    </row>
    <row r="92" spans="1:52" ht="14.25">
      <c r="A92" s="43"/>
      <c r="B92" s="43"/>
      <c r="C92" s="43"/>
      <c r="D92" s="43"/>
      <c r="E92" s="43"/>
      <c r="F92" s="43"/>
      <c r="G92" s="43"/>
      <c r="H92" s="43"/>
      <c r="I92" s="43"/>
      <c r="J92" s="44"/>
      <c r="K92" s="44"/>
      <c r="L92" s="44"/>
      <c r="M92" s="44"/>
      <c r="N92" s="44"/>
      <c r="O92" s="44"/>
      <c r="P92" s="44"/>
      <c r="Q92" s="44"/>
      <c r="R92" s="44"/>
      <c r="S92" s="44"/>
      <c r="T92" s="44"/>
      <c r="U92" s="44"/>
      <c r="V92" s="44"/>
      <c r="W92" s="44"/>
      <c r="X92" s="44"/>
      <c r="Y92" s="44"/>
      <c r="Z92" s="44"/>
      <c r="AA92" s="43"/>
      <c r="AB92" s="43"/>
      <c r="AC92" s="43"/>
      <c r="AD92" s="43"/>
      <c r="AE92" s="43"/>
      <c r="AF92" s="43"/>
      <c r="AG92" s="43"/>
      <c r="AH92" s="43"/>
      <c r="AI92" s="43"/>
      <c r="AJ92" s="44"/>
      <c r="AK92" s="44"/>
      <c r="AL92" s="44"/>
      <c r="AM92" s="44"/>
      <c r="AN92" s="44"/>
      <c r="AO92" s="44"/>
      <c r="AP92" s="44"/>
      <c r="AQ92" s="44"/>
      <c r="AR92" s="44"/>
      <c r="AS92" s="44"/>
      <c r="AT92" s="44"/>
      <c r="AU92" s="44"/>
      <c r="AV92" s="44"/>
      <c r="AW92" s="44"/>
      <c r="AX92" s="44"/>
      <c r="AY92" s="44"/>
      <c r="AZ92" s="44"/>
    </row>
    <row r="93" spans="1:52" ht="14.25">
      <c r="A93" s="43"/>
      <c r="B93" s="43"/>
      <c r="C93" s="43"/>
      <c r="D93" s="43"/>
      <c r="E93" s="43"/>
      <c r="F93" s="43"/>
      <c r="G93" s="43"/>
      <c r="H93" s="43"/>
      <c r="I93" s="43"/>
      <c r="J93" s="44"/>
      <c r="K93" s="44"/>
      <c r="L93" s="44"/>
      <c r="M93" s="44"/>
      <c r="N93" s="44"/>
      <c r="O93" s="44"/>
      <c r="P93" s="44"/>
      <c r="Q93" s="44"/>
      <c r="R93" s="44"/>
      <c r="S93" s="44"/>
      <c r="T93" s="44"/>
      <c r="U93" s="44"/>
      <c r="V93" s="44"/>
      <c r="W93" s="44"/>
      <c r="X93" s="44"/>
      <c r="Y93" s="44"/>
      <c r="Z93" s="44"/>
      <c r="AA93" s="43"/>
      <c r="AB93" s="43"/>
      <c r="AC93" s="43"/>
      <c r="AD93" s="43"/>
      <c r="AE93" s="43"/>
      <c r="AF93" s="43"/>
      <c r="AG93" s="43"/>
      <c r="AH93" s="43"/>
      <c r="AI93" s="43"/>
      <c r="AJ93" s="44"/>
      <c r="AK93" s="44"/>
      <c r="AL93" s="44"/>
      <c r="AM93" s="44"/>
      <c r="AN93" s="44"/>
      <c r="AO93" s="44"/>
      <c r="AP93" s="44"/>
      <c r="AQ93" s="44"/>
      <c r="AR93" s="44"/>
      <c r="AS93" s="44"/>
      <c r="AT93" s="44"/>
      <c r="AU93" s="44"/>
      <c r="AV93" s="44"/>
      <c r="AW93" s="44"/>
      <c r="AX93" s="44"/>
      <c r="AY93" s="44"/>
      <c r="AZ93" s="44"/>
    </row>
    <row r="94" spans="1:52" ht="14.25">
      <c r="A94" s="43"/>
      <c r="B94" s="43"/>
      <c r="C94" s="43"/>
      <c r="D94" s="43"/>
      <c r="E94" s="43"/>
      <c r="F94" s="43"/>
      <c r="G94" s="43"/>
      <c r="H94" s="43"/>
      <c r="I94" s="43"/>
      <c r="J94" s="44"/>
      <c r="K94" s="44"/>
      <c r="L94" s="44"/>
      <c r="M94" s="44"/>
      <c r="N94" s="44"/>
      <c r="O94" s="44"/>
      <c r="P94" s="44"/>
      <c r="Q94" s="44"/>
      <c r="R94" s="44"/>
      <c r="S94" s="44"/>
      <c r="T94" s="44"/>
      <c r="U94" s="44"/>
      <c r="V94" s="44"/>
      <c r="W94" s="44"/>
      <c r="X94" s="44"/>
      <c r="Y94" s="44"/>
      <c r="Z94" s="44"/>
      <c r="AA94" s="43"/>
      <c r="AB94" s="43"/>
      <c r="AC94" s="43"/>
      <c r="AD94" s="43"/>
      <c r="AE94" s="43"/>
      <c r="AF94" s="43"/>
      <c r="AG94" s="43"/>
      <c r="AH94" s="43"/>
      <c r="AI94" s="43"/>
      <c r="AJ94" s="44"/>
      <c r="AK94" s="44"/>
      <c r="AL94" s="44"/>
      <c r="AM94" s="44"/>
      <c r="AN94" s="44"/>
      <c r="AO94" s="44"/>
      <c r="AP94" s="44"/>
      <c r="AQ94" s="44"/>
      <c r="AR94" s="44"/>
      <c r="AS94" s="44"/>
      <c r="AT94" s="44"/>
      <c r="AU94" s="44"/>
      <c r="AV94" s="44"/>
      <c r="AW94" s="44"/>
      <c r="AX94" s="44"/>
      <c r="AY94" s="44"/>
      <c r="AZ94" s="44"/>
    </row>
    <row r="95" spans="1:52" ht="14.25">
      <c r="A95" s="43"/>
      <c r="B95" s="43"/>
      <c r="C95" s="43"/>
      <c r="D95" s="43"/>
      <c r="E95" s="43"/>
      <c r="F95" s="43"/>
      <c r="G95" s="43"/>
      <c r="H95" s="43"/>
      <c r="I95" s="43"/>
      <c r="J95" s="44"/>
      <c r="K95" s="44"/>
      <c r="L95" s="44"/>
      <c r="M95" s="44"/>
      <c r="N95" s="44"/>
      <c r="O95" s="44"/>
      <c r="P95" s="44"/>
      <c r="Q95" s="44"/>
      <c r="R95" s="44"/>
      <c r="S95" s="44"/>
      <c r="T95" s="44"/>
      <c r="U95" s="44"/>
      <c r="V95" s="44"/>
      <c r="W95" s="44"/>
      <c r="X95" s="44"/>
      <c r="Y95" s="44"/>
      <c r="Z95" s="44"/>
      <c r="AA95" s="43"/>
      <c r="AB95" s="43"/>
      <c r="AC95" s="43"/>
      <c r="AD95" s="43"/>
      <c r="AE95" s="43"/>
      <c r="AF95" s="43"/>
      <c r="AG95" s="43"/>
      <c r="AH95" s="43"/>
      <c r="AI95" s="43"/>
      <c r="AJ95" s="44"/>
      <c r="AK95" s="44"/>
      <c r="AL95" s="44"/>
      <c r="AM95" s="44"/>
      <c r="AN95" s="44"/>
      <c r="AO95" s="44"/>
      <c r="AP95" s="44"/>
      <c r="AQ95" s="44"/>
      <c r="AR95" s="44"/>
      <c r="AS95" s="44"/>
      <c r="AT95" s="44"/>
      <c r="AU95" s="44"/>
      <c r="AV95" s="44"/>
      <c r="AW95" s="44"/>
      <c r="AX95" s="44"/>
      <c r="AY95" s="44"/>
      <c r="AZ95" s="44"/>
    </row>
    <row r="96" spans="1:52" ht="14.25">
      <c r="A96" s="43"/>
      <c r="B96" s="43"/>
      <c r="C96" s="43"/>
      <c r="D96" s="43"/>
      <c r="E96" s="43"/>
      <c r="F96" s="43"/>
      <c r="G96" s="43"/>
      <c r="H96" s="43"/>
      <c r="I96" s="43"/>
      <c r="J96" s="44"/>
      <c r="K96" s="44"/>
      <c r="L96" s="44"/>
      <c r="M96" s="44"/>
      <c r="N96" s="44"/>
      <c r="O96" s="44"/>
      <c r="P96" s="44"/>
      <c r="Q96" s="44"/>
      <c r="R96" s="44"/>
      <c r="S96" s="44"/>
      <c r="T96" s="44"/>
      <c r="U96" s="44"/>
      <c r="V96" s="44"/>
      <c r="W96" s="44"/>
      <c r="X96" s="44"/>
      <c r="Y96" s="44"/>
      <c r="Z96" s="44"/>
      <c r="AA96" s="43"/>
      <c r="AB96" s="43"/>
      <c r="AC96" s="43"/>
      <c r="AD96" s="43"/>
      <c r="AE96" s="43"/>
      <c r="AF96" s="43"/>
      <c r="AG96" s="43"/>
      <c r="AH96" s="43"/>
      <c r="AI96" s="43"/>
      <c r="AJ96" s="44"/>
      <c r="AK96" s="44"/>
      <c r="AL96" s="44"/>
      <c r="AM96" s="44"/>
      <c r="AN96" s="44"/>
      <c r="AO96" s="44"/>
      <c r="AP96" s="44"/>
      <c r="AQ96" s="44"/>
      <c r="AR96" s="44"/>
      <c r="AS96" s="44"/>
      <c r="AT96" s="44"/>
      <c r="AU96" s="44"/>
      <c r="AV96" s="44"/>
      <c r="AW96" s="44"/>
      <c r="AX96" s="44"/>
      <c r="AY96" s="44"/>
      <c r="AZ96" s="44"/>
    </row>
    <row r="97" spans="1:52" ht="14.25">
      <c r="A97" s="43"/>
      <c r="B97" s="43"/>
      <c r="C97" s="43"/>
      <c r="D97" s="43"/>
      <c r="E97" s="43"/>
      <c r="F97" s="43"/>
      <c r="G97" s="43"/>
      <c r="H97" s="43"/>
      <c r="I97" s="43"/>
      <c r="J97" s="44"/>
      <c r="K97" s="44"/>
      <c r="L97" s="44"/>
      <c r="M97" s="44"/>
      <c r="N97" s="44"/>
      <c r="O97" s="44"/>
      <c r="P97" s="44"/>
      <c r="Q97" s="44"/>
      <c r="R97" s="44"/>
      <c r="S97" s="44"/>
      <c r="T97" s="44"/>
      <c r="U97" s="44"/>
      <c r="V97" s="44"/>
      <c r="W97" s="44"/>
      <c r="X97" s="44"/>
      <c r="Y97" s="44"/>
      <c r="Z97" s="44"/>
      <c r="AA97" s="43"/>
      <c r="AB97" s="43"/>
      <c r="AC97" s="43"/>
      <c r="AD97" s="43"/>
      <c r="AE97" s="43"/>
      <c r="AF97" s="43"/>
      <c r="AG97" s="43"/>
      <c r="AH97" s="43"/>
      <c r="AI97" s="43"/>
      <c r="AJ97" s="44"/>
      <c r="AK97" s="44"/>
      <c r="AL97" s="44"/>
      <c r="AM97" s="44"/>
      <c r="AN97" s="44"/>
      <c r="AO97" s="44"/>
      <c r="AP97" s="44"/>
      <c r="AQ97" s="44"/>
      <c r="AR97" s="44"/>
      <c r="AS97" s="44"/>
      <c r="AT97" s="44"/>
      <c r="AU97" s="44"/>
      <c r="AV97" s="44"/>
      <c r="AW97" s="44"/>
      <c r="AX97" s="44"/>
      <c r="AY97" s="44"/>
      <c r="AZ97" s="44"/>
    </row>
    <row r="98" spans="1:52" ht="14.25">
      <c r="A98" s="43"/>
      <c r="B98" s="43"/>
      <c r="C98" s="43"/>
      <c r="D98" s="43"/>
      <c r="E98" s="43"/>
      <c r="F98" s="43"/>
      <c r="G98" s="43"/>
      <c r="H98" s="43"/>
      <c r="I98" s="43"/>
      <c r="J98" s="44"/>
      <c r="K98" s="44"/>
      <c r="L98" s="44"/>
      <c r="M98" s="44"/>
      <c r="N98" s="44"/>
      <c r="O98" s="44"/>
      <c r="P98" s="44"/>
      <c r="Q98" s="44"/>
      <c r="R98" s="44"/>
      <c r="S98" s="44"/>
      <c r="T98" s="44"/>
      <c r="U98" s="44"/>
      <c r="V98" s="44"/>
      <c r="W98" s="44"/>
      <c r="X98" s="44"/>
      <c r="Y98" s="44"/>
      <c r="Z98" s="44"/>
      <c r="AA98" s="43"/>
      <c r="AB98" s="43"/>
      <c r="AC98" s="43"/>
      <c r="AD98" s="43"/>
      <c r="AE98" s="43"/>
      <c r="AF98" s="43"/>
      <c r="AG98" s="43"/>
      <c r="AH98" s="43"/>
      <c r="AI98" s="43"/>
      <c r="AJ98" s="44"/>
      <c r="AK98" s="44"/>
      <c r="AL98" s="44"/>
      <c r="AM98" s="44"/>
      <c r="AN98" s="44"/>
      <c r="AO98" s="44"/>
      <c r="AP98" s="44"/>
      <c r="AQ98" s="44"/>
      <c r="AR98" s="44"/>
      <c r="AS98" s="44"/>
      <c r="AT98" s="44"/>
      <c r="AU98" s="44"/>
      <c r="AV98" s="44"/>
      <c r="AW98" s="44"/>
      <c r="AX98" s="44"/>
      <c r="AY98" s="44"/>
      <c r="AZ98" s="44"/>
    </row>
    <row r="99" spans="1:52" ht="14.25">
      <c r="A99" s="43"/>
      <c r="B99" s="43"/>
      <c r="C99" s="43"/>
      <c r="D99" s="43"/>
      <c r="E99" s="43"/>
      <c r="F99" s="43"/>
      <c r="G99" s="43"/>
      <c r="H99" s="43"/>
      <c r="I99" s="43"/>
      <c r="J99" s="44"/>
      <c r="K99" s="44"/>
      <c r="L99" s="44"/>
      <c r="M99" s="44"/>
      <c r="N99" s="44"/>
      <c r="O99" s="44"/>
      <c r="P99" s="44"/>
      <c r="Q99" s="44"/>
      <c r="R99" s="44"/>
      <c r="S99" s="44"/>
      <c r="T99" s="44"/>
      <c r="U99" s="44"/>
      <c r="V99" s="44"/>
      <c r="W99" s="44"/>
      <c r="X99" s="44"/>
      <c r="Y99" s="44"/>
      <c r="Z99" s="44"/>
      <c r="AA99" s="43"/>
      <c r="AB99" s="43"/>
      <c r="AC99" s="43"/>
      <c r="AD99" s="43"/>
      <c r="AE99" s="43"/>
      <c r="AF99" s="43"/>
      <c r="AG99" s="43"/>
      <c r="AH99" s="43"/>
      <c r="AI99" s="43"/>
      <c r="AJ99" s="44"/>
      <c r="AK99" s="44"/>
      <c r="AL99" s="44"/>
      <c r="AM99" s="44"/>
      <c r="AN99" s="44"/>
      <c r="AO99" s="44"/>
      <c r="AP99" s="44"/>
      <c r="AQ99" s="44"/>
      <c r="AR99" s="44"/>
      <c r="AS99" s="44"/>
      <c r="AT99" s="44"/>
      <c r="AU99" s="44"/>
      <c r="AV99" s="44"/>
      <c r="AW99" s="44"/>
      <c r="AX99" s="44"/>
      <c r="AY99" s="44"/>
      <c r="AZ99" s="44"/>
    </row>
    <row r="100" spans="1:52" ht="14.25">
      <c r="A100" s="43"/>
      <c r="B100" s="43"/>
      <c r="C100" s="43"/>
      <c r="D100" s="43"/>
      <c r="E100" s="43"/>
      <c r="F100" s="43"/>
      <c r="G100" s="43"/>
      <c r="H100" s="43"/>
      <c r="I100" s="43"/>
      <c r="J100" s="44"/>
      <c r="K100" s="44"/>
      <c r="L100" s="44"/>
      <c r="M100" s="44"/>
      <c r="N100" s="44"/>
      <c r="O100" s="44"/>
      <c r="P100" s="44"/>
      <c r="Q100" s="44"/>
      <c r="R100" s="44"/>
      <c r="S100" s="44"/>
      <c r="T100" s="44"/>
      <c r="U100" s="44"/>
      <c r="V100" s="44"/>
      <c r="W100" s="44"/>
      <c r="X100" s="44"/>
      <c r="Y100" s="44"/>
      <c r="Z100" s="44"/>
      <c r="AA100" s="43"/>
      <c r="AB100" s="43"/>
      <c r="AC100" s="43"/>
      <c r="AD100" s="43"/>
      <c r="AE100" s="43"/>
      <c r="AF100" s="43"/>
      <c r="AG100" s="43"/>
      <c r="AH100" s="43"/>
      <c r="AI100" s="43"/>
      <c r="AJ100" s="44"/>
      <c r="AK100" s="44"/>
      <c r="AL100" s="44"/>
      <c r="AM100" s="44"/>
      <c r="AN100" s="44"/>
      <c r="AO100" s="44"/>
      <c r="AP100" s="44"/>
      <c r="AQ100" s="44"/>
      <c r="AR100" s="44"/>
      <c r="AS100" s="44"/>
      <c r="AT100" s="44"/>
      <c r="AU100" s="44"/>
      <c r="AV100" s="44"/>
      <c r="AW100" s="44"/>
      <c r="AX100" s="44"/>
      <c r="AY100" s="44"/>
      <c r="AZ100" s="44"/>
    </row>
    <row r="101" spans="1:52" ht="14.25">
      <c r="A101" s="43"/>
      <c r="B101" s="43"/>
      <c r="C101" s="43"/>
      <c r="D101" s="43"/>
      <c r="E101" s="43"/>
      <c r="F101" s="43"/>
      <c r="G101" s="43"/>
      <c r="H101" s="43"/>
      <c r="I101" s="43"/>
      <c r="J101" s="44"/>
      <c r="K101" s="44"/>
      <c r="L101" s="44"/>
      <c r="M101" s="44"/>
      <c r="N101" s="44"/>
      <c r="O101" s="44"/>
      <c r="P101" s="44"/>
      <c r="Q101" s="44"/>
      <c r="R101" s="44"/>
      <c r="S101" s="44"/>
      <c r="T101" s="44"/>
      <c r="U101" s="44"/>
      <c r="V101" s="44"/>
      <c r="W101" s="44"/>
      <c r="X101" s="44"/>
      <c r="Y101" s="44"/>
      <c r="Z101" s="44"/>
      <c r="AA101" s="43"/>
      <c r="AB101" s="43"/>
      <c r="AC101" s="43"/>
      <c r="AD101" s="43"/>
      <c r="AE101" s="43"/>
      <c r="AF101" s="43"/>
      <c r="AG101" s="43"/>
      <c r="AH101" s="43"/>
      <c r="AI101" s="43"/>
      <c r="AJ101" s="44"/>
      <c r="AK101" s="44"/>
      <c r="AL101" s="44"/>
      <c r="AM101" s="44"/>
      <c r="AN101" s="44"/>
      <c r="AO101" s="44"/>
      <c r="AP101" s="44"/>
      <c r="AQ101" s="44"/>
      <c r="AR101" s="44"/>
      <c r="AS101" s="44"/>
      <c r="AT101" s="44"/>
      <c r="AU101" s="44"/>
      <c r="AV101" s="44"/>
      <c r="AW101" s="44"/>
      <c r="AX101" s="44"/>
      <c r="AY101" s="44"/>
      <c r="AZ101" s="44"/>
    </row>
    <row r="102" spans="1:52" ht="14.25">
      <c r="A102" s="43"/>
      <c r="B102" s="43"/>
      <c r="C102" s="43"/>
      <c r="D102" s="43"/>
      <c r="E102" s="43"/>
      <c r="F102" s="43"/>
      <c r="G102" s="43"/>
      <c r="H102" s="43"/>
      <c r="I102" s="43"/>
      <c r="J102" s="44"/>
      <c r="K102" s="44"/>
      <c r="L102" s="44"/>
      <c r="M102" s="44"/>
      <c r="N102" s="44"/>
      <c r="O102" s="44"/>
      <c r="P102" s="44"/>
      <c r="Q102" s="44"/>
      <c r="R102" s="44"/>
      <c r="S102" s="44"/>
      <c r="T102" s="44"/>
      <c r="U102" s="44"/>
      <c r="V102" s="44"/>
      <c r="W102" s="44"/>
      <c r="X102" s="44"/>
      <c r="Y102" s="44"/>
      <c r="Z102" s="44"/>
      <c r="AA102" s="43"/>
      <c r="AB102" s="43"/>
      <c r="AC102" s="43"/>
      <c r="AD102" s="43"/>
      <c r="AE102" s="43"/>
      <c r="AF102" s="43"/>
      <c r="AG102" s="43"/>
      <c r="AH102" s="43"/>
      <c r="AI102" s="43"/>
      <c r="AJ102" s="44"/>
      <c r="AK102" s="44"/>
      <c r="AL102" s="44"/>
      <c r="AM102" s="44"/>
      <c r="AN102" s="44"/>
      <c r="AO102" s="44"/>
      <c r="AP102" s="44"/>
      <c r="AQ102" s="44"/>
      <c r="AR102" s="44"/>
      <c r="AS102" s="44"/>
      <c r="AT102" s="44"/>
      <c r="AU102" s="44"/>
      <c r="AV102" s="44"/>
      <c r="AW102" s="44"/>
      <c r="AX102" s="44"/>
      <c r="AY102" s="44"/>
      <c r="AZ102" s="44"/>
    </row>
    <row r="103" spans="1:52" ht="14.25">
      <c r="A103" s="43"/>
      <c r="B103" s="43"/>
      <c r="C103" s="43"/>
      <c r="D103" s="43"/>
      <c r="E103" s="43"/>
      <c r="F103" s="43"/>
      <c r="G103" s="43"/>
      <c r="H103" s="43"/>
      <c r="I103" s="43"/>
      <c r="J103" s="44"/>
      <c r="K103" s="44"/>
      <c r="L103" s="44"/>
      <c r="M103" s="44"/>
      <c r="N103" s="44"/>
      <c r="O103" s="44"/>
      <c r="P103" s="44"/>
      <c r="Q103" s="44"/>
      <c r="R103" s="44"/>
      <c r="S103" s="44"/>
      <c r="T103" s="44"/>
      <c r="U103" s="44"/>
      <c r="V103" s="44"/>
      <c r="W103" s="44"/>
      <c r="X103" s="44"/>
      <c r="Y103" s="44"/>
      <c r="Z103" s="44"/>
      <c r="AA103" s="43"/>
      <c r="AB103" s="43"/>
      <c r="AC103" s="43"/>
      <c r="AD103" s="43"/>
      <c r="AE103" s="43"/>
      <c r="AF103" s="43"/>
      <c r="AG103" s="43"/>
      <c r="AH103" s="43"/>
      <c r="AI103" s="43"/>
      <c r="AJ103" s="44"/>
      <c r="AK103" s="44"/>
      <c r="AL103" s="44"/>
      <c r="AM103" s="44"/>
      <c r="AN103" s="44"/>
      <c r="AO103" s="44"/>
      <c r="AP103" s="44"/>
      <c r="AQ103" s="44"/>
      <c r="AR103" s="44"/>
      <c r="AS103" s="44"/>
      <c r="AT103" s="44"/>
      <c r="AU103" s="44"/>
      <c r="AV103" s="44"/>
      <c r="AW103" s="44"/>
      <c r="AX103" s="44"/>
      <c r="AY103" s="44"/>
      <c r="AZ103" s="44"/>
    </row>
    <row r="104" spans="1:52" ht="14.25">
      <c r="A104" s="43"/>
      <c r="B104" s="43"/>
      <c r="C104" s="43"/>
      <c r="D104" s="43"/>
      <c r="E104" s="43"/>
      <c r="F104" s="43"/>
      <c r="G104" s="43"/>
      <c r="H104" s="43"/>
      <c r="I104" s="43"/>
      <c r="J104" s="44"/>
      <c r="K104" s="44"/>
      <c r="L104" s="44"/>
      <c r="M104" s="44"/>
      <c r="N104" s="44"/>
      <c r="O104" s="44"/>
      <c r="P104" s="44"/>
      <c r="Q104" s="44"/>
      <c r="R104" s="44"/>
      <c r="S104" s="44"/>
      <c r="T104" s="44"/>
      <c r="U104" s="44"/>
      <c r="V104" s="44"/>
      <c r="W104" s="44"/>
      <c r="X104" s="44"/>
      <c r="Y104" s="44"/>
      <c r="Z104" s="44"/>
      <c r="AA104" s="43"/>
      <c r="AB104" s="43"/>
      <c r="AC104" s="43"/>
      <c r="AD104" s="43"/>
      <c r="AE104" s="43"/>
      <c r="AF104" s="43"/>
      <c r="AG104" s="43"/>
      <c r="AH104" s="43"/>
      <c r="AI104" s="43"/>
      <c r="AJ104" s="44"/>
      <c r="AK104" s="44"/>
      <c r="AL104" s="44"/>
      <c r="AM104" s="44"/>
      <c r="AN104" s="44"/>
      <c r="AO104" s="44"/>
      <c r="AP104" s="44"/>
      <c r="AQ104" s="44"/>
      <c r="AR104" s="44"/>
      <c r="AS104" s="44"/>
      <c r="AT104" s="44"/>
      <c r="AU104" s="44"/>
      <c r="AV104" s="44"/>
      <c r="AW104" s="44"/>
      <c r="AX104" s="44"/>
      <c r="AY104" s="44"/>
      <c r="AZ104" s="44"/>
    </row>
    <row r="105" spans="1:52" ht="14.25">
      <c r="A105" s="43"/>
      <c r="B105" s="43"/>
      <c r="C105" s="43"/>
      <c r="D105" s="43"/>
      <c r="E105" s="43"/>
      <c r="F105" s="43"/>
      <c r="G105" s="43"/>
      <c r="H105" s="43"/>
      <c r="I105" s="43"/>
      <c r="J105" s="44"/>
      <c r="K105" s="44"/>
      <c r="L105" s="44"/>
      <c r="M105" s="44"/>
      <c r="N105" s="44"/>
      <c r="O105" s="44"/>
      <c r="P105" s="44"/>
      <c r="Q105" s="44"/>
      <c r="R105" s="44"/>
      <c r="S105" s="44"/>
      <c r="T105" s="44"/>
      <c r="U105" s="44"/>
      <c r="V105" s="44"/>
      <c r="W105" s="44"/>
      <c r="X105" s="44"/>
      <c r="Y105" s="44"/>
      <c r="Z105" s="44"/>
      <c r="AA105" s="43"/>
      <c r="AB105" s="43"/>
      <c r="AC105" s="43"/>
      <c r="AD105" s="43"/>
      <c r="AE105" s="43"/>
      <c r="AF105" s="43"/>
      <c r="AG105" s="43"/>
      <c r="AH105" s="43"/>
      <c r="AI105" s="43"/>
      <c r="AJ105" s="44"/>
      <c r="AK105" s="44"/>
      <c r="AL105" s="44"/>
      <c r="AM105" s="44"/>
      <c r="AN105" s="44"/>
      <c r="AO105" s="44"/>
      <c r="AP105" s="44"/>
      <c r="AQ105" s="44"/>
      <c r="AR105" s="44"/>
      <c r="AS105" s="44"/>
      <c r="AT105" s="44"/>
      <c r="AU105" s="44"/>
      <c r="AV105" s="44"/>
      <c r="AW105" s="44"/>
      <c r="AX105" s="44"/>
      <c r="AY105" s="44"/>
      <c r="AZ105" s="44"/>
    </row>
    <row r="106" spans="1:52" ht="14.25">
      <c r="A106" s="43"/>
      <c r="B106" s="43"/>
      <c r="C106" s="43"/>
      <c r="D106" s="43"/>
      <c r="E106" s="43"/>
      <c r="F106" s="43"/>
      <c r="G106" s="43"/>
      <c r="H106" s="43"/>
      <c r="I106" s="43"/>
      <c r="J106" s="44"/>
      <c r="K106" s="44"/>
      <c r="L106" s="44"/>
      <c r="M106" s="44"/>
      <c r="N106" s="44"/>
      <c r="O106" s="44"/>
      <c r="P106" s="44"/>
      <c r="Q106" s="44"/>
      <c r="R106" s="44"/>
      <c r="S106" s="44"/>
      <c r="T106" s="44"/>
      <c r="U106" s="44"/>
      <c r="V106" s="44"/>
      <c r="W106" s="44"/>
      <c r="X106" s="44"/>
      <c r="Y106" s="44"/>
      <c r="Z106" s="44"/>
      <c r="AA106" s="43"/>
      <c r="AB106" s="43"/>
      <c r="AC106" s="43"/>
      <c r="AD106" s="43"/>
      <c r="AE106" s="43"/>
      <c r="AF106" s="43"/>
      <c r="AG106" s="43"/>
      <c r="AH106" s="43"/>
      <c r="AI106" s="43"/>
      <c r="AJ106" s="44"/>
      <c r="AK106" s="44"/>
      <c r="AL106" s="44"/>
      <c r="AM106" s="44"/>
      <c r="AN106" s="44"/>
      <c r="AO106" s="44"/>
      <c r="AP106" s="44"/>
      <c r="AQ106" s="44"/>
      <c r="AR106" s="44"/>
      <c r="AS106" s="44"/>
      <c r="AT106" s="44"/>
      <c r="AU106" s="44"/>
      <c r="AV106" s="44"/>
      <c r="AW106" s="44"/>
      <c r="AX106" s="44"/>
      <c r="AY106" s="44"/>
      <c r="AZ106" s="44"/>
    </row>
    <row r="107" spans="1:52" ht="14.25">
      <c r="A107" s="43"/>
      <c r="B107" s="43"/>
      <c r="C107" s="43"/>
      <c r="D107" s="43"/>
      <c r="E107" s="43"/>
      <c r="F107" s="43"/>
      <c r="G107" s="43"/>
      <c r="H107" s="43"/>
      <c r="I107" s="43"/>
      <c r="J107" s="44"/>
      <c r="K107" s="44"/>
      <c r="L107" s="44"/>
      <c r="M107" s="44"/>
      <c r="N107" s="44"/>
      <c r="O107" s="44"/>
      <c r="P107" s="44"/>
      <c r="Q107" s="44"/>
      <c r="R107" s="44"/>
      <c r="S107" s="44"/>
      <c r="T107" s="44"/>
      <c r="U107" s="44"/>
      <c r="V107" s="44"/>
      <c r="W107" s="44"/>
      <c r="X107" s="44"/>
      <c r="Y107" s="44"/>
      <c r="Z107" s="44"/>
      <c r="AA107" s="43"/>
      <c r="AB107" s="43"/>
      <c r="AC107" s="43"/>
      <c r="AD107" s="43"/>
      <c r="AE107" s="43"/>
      <c r="AF107" s="43"/>
      <c r="AG107" s="43"/>
      <c r="AH107" s="43"/>
      <c r="AI107" s="43"/>
      <c r="AJ107" s="44"/>
      <c r="AK107" s="44"/>
      <c r="AL107" s="44"/>
      <c r="AM107" s="44"/>
      <c r="AN107" s="44"/>
      <c r="AO107" s="44"/>
      <c r="AP107" s="44"/>
      <c r="AQ107" s="44"/>
      <c r="AR107" s="44"/>
      <c r="AS107" s="44"/>
      <c r="AT107" s="44"/>
      <c r="AU107" s="44"/>
      <c r="AV107" s="44"/>
      <c r="AW107" s="44"/>
      <c r="AX107" s="44"/>
      <c r="AY107" s="44"/>
      <c r="AZ107" s="44"/>
    </row>
    <row r="108" spans="1:52" ht="14.25">
      <c r="A108" s="43"/>
      <c r="B108" s="43"/>
      <c r="C108" s="43"/>
      <c r="D108" s="43"/>
      <c r="E108" s="43"/>
      <c r="F108" s="43"/>
      <c r="G108" s="43"/>
      <c r="H108" s="43"/>
      <c r="I108" s="43"/>
      <c r="J108" s="44"/>
      <c r="K108" s="44"/>
      <c r="L108" s="44"/>
      <c r="M108" s="44"/>
      <c r="N108" s="44"/>
      <c r="O108" s="44"/>
      <c r="P108" s="44"/>
      <c r="Q108" s="44"/>
      <c r="R108" s="44"/>
      <c r="S108" s="44"/>
      <c r="T108" s="44"/>
      <c r="U108" s="44"/>
      <c r="V108" s="44"/>
      <c r="W108" s="44"/>
      <c r="X108" s="44"/>
      <c r="Y108" s="44"/>
      <c r="Z108" s="44"/>
      <c r="AA108" s="43"/>
      <c r="AB108" s="43"/>
      <c r="AC108" s="43"/>
      <c r="AD108" s="43"/>
      <c r="AE108" s="43"/>
      <c r="AF108" s="43"/>
      <c r="AG108" s="43"/>
      <c r="AH108" s="43"/>
      <c r="AI108" s="43"/>
      <c r="AJ108" s="44"/>
      <c r="AK108" s="44"/>
      <c r="AL108" s="44"/>
      <c r="AM108" s="44"/>
      <c r="AN108" s="44"/>
      <c r="AO108" s="44"/>
      <c r="AP108" s="44"/>
      <c r="AQ108" s="44"/>
      <c r="AR108" s="44"/>
      <c r="AS108" s="44"/>
      <c r="AT108" s="44"/>
      <c r="AU108" s="44"/>
      <c r="AV108" s="44"/>
      <c r="AW108" s="44"/>
      <c r="AX108" s="44"/>
      <c r="AY108" s="44"/>
      <c r="AZ108" s="44"/>
    </row>
    <row r="109" spans="1:52" ht="14.25">
      <c r="A109" s="43"/>
      <c r="B109" s="43"/>
      <c r="C109" s="43"/>
      <c r="D109" s="43"/>
      <c r="E109" s="43"/>
      <c r="F109" s="43"/>
      <c r="G109" s="43"/>
      <c r="H109" s="43"/>
      <c r="I109" s="43"/>
      <c r="J109" s="44"/>
      <c r="K109" s="44"/>
      <c r="L109" s="44"/>
      <c r="M109" s="44"/>
      <c r="N109" s="44"/>
      <c r="O109" s="44"/>
      <c r="P109" s="44"/>
      <c r="Q109" s="44"/>
      <c r="R109" s="44"/>
      <c r="S109" s="44"/>
      <c r="T109" s="44"/>
      <c r="U109" s="44"/>
      <c r="V109" s="44"/>
      <c r="W109" s="44"/>
      <c r="X109" s="44"/>
      <c r="Y109" s="44"/>
      <c r="Z109" s="44"/>
      <c r="AA109" s="43"/>
      <c r="AB109" s="43"/>
      <c r="AC109" s="43"/>
      <c r="AD109" s="43"/>
      <c r="AE109" s="43"/>
      <c r="AF109" s="43"/>
      <c r="AG109" s="43"/>
      <c r="AH109" s="43"/>
      <c r="AI109" s="43"/>
      <c r="AJ109" s="44"/>
      <c r="AK109" s="44"/>
      <c r="AL109" s="44"/>
      <c r="AM109" s="44"/>
      <c r="AN109" s="44"/>
      <c r="AO109" s="44"/>
      <c r="AP109" s="44"/>
      <c r="AQ109" s="44"/>
      <c r="AR109" s="44"/>
      <c r="AS109" s="44"/>
      <c r="AT109" s="44"/>
      <c r="AU109" s="44"/>
      <c r="AV109" s="44"/>
      <c r="AW109" s="44"/>
      <c r="AX109" s="44"/>
      <c r="AY109" s="44"/>
      <c r="AZ109" s="44"/>
    </row>
    <row r="110" spans="1:52" ht="14.25">
      <c r="A110" s="43"/>
      <c r="B110" s="43"/>
      <c r="C110" s="43"/>
      <c r="D110" s="43"/>
      <c r="E110" s="43"/>
      <c r="F110" s="43"/>
      <c r="G110" s="43"/>
      <c r="H110" s="43"/>
      <c r="I110" s="43"/>
      <c r="J110" s="44"/>
      <c r="K110" s="44"/>
      <c r="L110" s="44"/>
      <c r="M110" s="44"/>
      <c r="N110" s="44"/>
      <c r="O110" s="44"/>
      <c r="P110" s="44"/>
      <c r="Q110" s="44"/>
      <c r="R110" s="44"/>
      <c r="S110" s="44"/>
      <c r="T110" s="44"/>
      <c r="U110" s="44"/>
      <c r="V110" s="44"/>
      <c r="W110" s="44"/>
      <c r="X110" s="44"/>
      <c r="Y110" s="44"/>
      <c r="Z110" s="44"/>
      <c r="AA110" s="43"/>
      <c r="AB110" s="43"/>
      <c r="AC110" s="43"/>
      <c r="AD110" s="43"/>
      <c r="AE110" s="43"/>
      <c r="AF110" s="43"/>
      <c r="AG110" s="43"/>
      <c r="AH110" s="43"/>
      <c r="AI110" s="43"/>
      <c r="AJ110" s="44"/>
      <c r="AK110" s="44"/>
      <c r="AL110" s="44"/>
      <c r="AM110" s="44"/>
      <c r="AN110" s="44"/>
      <c r="AO110" s="44"/>
      <c r="AP110" s="44"/>
      <c r="AQ110" s="44"/>
      <c r="AR110" s="44"/>
      <c r="AS110" s="44"/>
      <c r="AT110" s="44"/>
      <c r="AU110" s="44"/>
      <c r="AV110" s="44"/>
      <c r="AW110" s="44"/>
      <c r="AX110" s="44"/>
      <c r="AY110" s="44"/>
      <c r="AZ110" s="44"/>
    </row>
    <row r="111" spans="1:52" ht="14.25">
      <c r="A111" s="43"/>
      <c r="B111" s="43"/>
      <c r="C111" s="43"/>
      <c r="D111" s="43"/>
      <c r="E111" s="43"/>
      <c r="F111" s="43"/>
      <c r="G111" s="43"/>
      <c r="H111" s="43"/>
      <c r="I111" s="43"/>
      <c r="J111" s="44"/>
      <c r="K111" s="44"/>
      <c r="L111" s="44"/>
      <c r="M111" s="44"/>
      <c r="N111" s="44"/>
      <c r="O111" s="44"/>
      <c r="P111" s="44"/>
      <c r="Q111" s="44"/>
      <c r="R111" s="44"/>
      <c r="S111" s="44"/>
      <c r="T111" s="44"/>
      <c r="U111" s="44"/>
      <c r="V111" s="44"/>
      <c r="W111" s="44"/>
      <c r="X111" s="44"/>
      <c r="Y111" s="44"/>
      <c r="Z111" s="44"/>
      <c r="AA111" s="43"/>
      <c r="AB111" s="43"/>
      <c r="AC111" s="43"/>
      <c r="AD111" s="43"/>
      <c r="AE111" s="43"/>
      <c r="AF111" s="43"/>
      <c r="AG111" s="43"/>
      <c r="AH111" s="43"/>
      <c r="AI111" s="43"/>
      <c r="AJ111" s="44"/>
      <c r="AK111" s="44"/>
      <c r="AL111" s="44"/>
      <c r="AM111" s="44"/>
      <c r="AN111" s="44"/>
      <c r="AO111" s="44"/>
      <c r="AP111" s="44"/>
      <c r="AQ111" s="44"/>
      <c r="AR111" s="44"/>
      <c r="AS111" s="44"/>
      <c r="AT111" s="44"/>
      <c r="AU111" s="44"/>
      <c r="AV111" s="44"/>
      <c r="AW111" s="44"/>
      <c r="AX111" s="44"/>
      <c r="AY111" s="44"/>
      <c r="AZ111" s="44"/>
    </row>
    <row r="112" spans="1:52" ht="14.25">
      <c r="A112" s="43"/>
      <c r="B112" s="43"/>
      <c r="C112" s="43"/>
      <c r="D112" s="43"/>
      <c r="E112" s="43"/>
      <c r="F112" s="43"/>
      <c r="G112" s="43"/>
      <c r="H112" s="43"/>
      <c r="I112" s="43"/>
      <c r="J112" s="44"/>
      <c r="K112" s="44"/>
      <c r="L112" s="44"/>
      <c r="M112" s="44"/>
      <c r="N112" s="44"/>
      <c r="O112" s="44"/>
      <c r="P112" s="44"/>
      <c r="Q112" s="44"/>
      <c r="R112" s="44"/>
      <c r="S112" s="44"/>
      <c r="T112" s="44"/>
      <c r="U112" s="44"/>
      <c r="V112" s="44"/>
      <c r="W112" s="44"/>
      <c r="X112" s="44"/>
      <c r="Y112" s="44"/>
      <c r="Z112" s="44"/>
      <c r="AA112" s="43"/>
      <c r="AB112" s="43"/>
      <c r="AC112" s="43"/>
      <c r="AD112" s="43"/>
      <c r="AE112" s="43"/>
      <c r="AF112" s="43"/>
      <c r="AG112" s="43"/>
      <c r="AH112" s="43"/>
      <c r="AI112" s="43"/>
      <c r="AJ112" s="44"/>
      <c r="AK112" s="44"/>
      <c r="AL112" s="44"/>
      <c r="AM112" s="44"/>
      <c r="AN112" s="44"/>
      <c r="AO112" s="44"/>
      <c r="AP112" s="44"/>
      <c r="AQ112" s="44"/>
      <c r="AR112" s="44"/>
      <c r="AS112" s="44"/>
      <c r="AT112" s="44"/>
      <c r="AU112" s="44"/>
      <c r="AV112" s="44"/>
      <c r="AW112" s="44"/>
      <c r="AX112" s="44"/>
      <c r="AY112" s="44"/>
      <c r="AZ112" s="44"/>
    </row>
    <row r="113" spans="1:52" ht="14.25">
      <c r="A113" s="43"/>
      <c r="B113" s="43"/>
      <c r="C113" s="43"/>
      <c r="D113" s="43"/>
      <c r="E113" s="43"/>
      <c r="F113" s="43"/>
      <c r="G113" s="43"/>
      <c r="H113" s="43"/>
      <c r="I113" s="43"/>
      <c r="J113" s="44"/>
      <c r="K113" s="44"/>
      <c r="L113" s="44"/>
      <c r="M113" s="44"/>
      <c r="N113" s="44"/>
      <c r="O113" s="44"/>
      <c r="P113" s="44"/>
      <c r="Q113" s="44"/>
      <c r="R113" s="44"/>
      <c r="S113" s="44"/>
      <c r="T113" s="44"/>
      <c r="U113" s="44"/>
      <c r="V113" s="44"/>
      <c r="W113" s="44"/>
      <c r="X113" s="44"/>
      <c r="Y113" s="44"/>
      <c r="Z113" s="44"/>
      <c r="AA113" s="43"/>
      <c r="AB113" s="43"/>
      <c r="AC113" s="43"/>
      <c r="AD113" s="43"/>
      <c r="AE113" s="43"/>
      <c r="AF113" s="43"/>
      <c r="AG113" s="43"/>
      <c r="AH113" s="43"/>
      <c r="AI113" s="43"/>
      <c r="AJ113" s="44"/>
      <c r="AK113" s="44"/>
      <c r="AL113" s="44"/>
      <c r="AM113" s="44"/>
      <c r="AN113" s="44"/>
      <c r="AO113" s="44"/>
      <c r="AP113" s="44"/>
      <c r="AQ113" s="44"/>
      <c r="AR113" s="44"/>
      <c r="AS113" s="44"/>
      <c r="AT113" s="44"/>
      <c r="AU113" s="44"/>
      <c r="AV113" s="44"/>
      <c r="AW113" s="44"/>
      <c r="AX113" s="44"/>
      <c r="AY113" s="44"/>
      <c r="AZ113" s="44"/>
    </row>
    <row r="114" spans="1:52" ht="14.25">
      <c r="A114" s="43"/>
      <c r="B114" s="43"/>
      <c r="C114" s="43"/>
      <c r="D114" s="43"/>
      <c r="E114" s="43"/>
      <c r="F114" s="43"/>
      <c r="G114" s="43"/>
      <c r="H114" s="43"/>
      <c r="I114" s="43"/>
      <c r="J114" s="44"/>
      <c r="K114" s="44"/>
      <c r="L114" s="44"/>
      <c r="M114" s="44"/>
      <c r="N114" s="44"/>
      <c r="O114" s="44"/>
      <c r="P114" s="44"/>
      <c r="Q114" s="44"/>
      <c r="R114" s="44"/>
      <c r="S114" s="44"/>
      <c r="T114" s="44"/>
      <c r="U114" s="44"/>
      <c r="V114" s="44"/>
      <c r="W114" s="44"/>
      <c r="X114" s="44"/>
      <c r="Y114" s="44"/>
      <c r="Z114" s="44"/>
      <c r="AA114" s="43"/>
      <c r="AB114" s="43"/>
      <c r="AC114" s="43"/>
      <c r="AD114" s="43"/>
      <c r="AE114" s="43"/>
      <c r="AF114" s="43"/>
      <c r="AG114" s="43"/>
      <c r="AH114" s="43"/>
      <c r="AI114" s="43"/>
      <c r="AJ114" s="44"/>
      <c r="AK114" s="44"/>
      <c r="AL114" s="44"/>
      <c r="AM114" s="44"/>
      <c r="AN114" s="44"/>
      <c r="AO114" s="44"/>
      <c r="AP114" s="44"/>
      <c r="AQ114" s="44"/>
      <c r="AR114" s="44"/>
      <c r="AS114" s="44"/>
      <c r="AT114" s="44"/>
      <c r="AU114" s="44"/>
      <c r="AV114" s="44"/>
      <c r="AW114" s="44"/>
      <c r="AX114" s="44"/>
      <c r="AY114" s="44"/>
      <c r="AZ114" s="44"/>
    </row>
    <row r="115" spans="1:52" ht="14.25">
      <c r="A115" s="43"/>
      <c r="B115" s="43"/>
      <c r="C115" s="43"/>
      <c r="D115" s="43"/>
      <c r="E115" s="43"/>
      <c r="F115" s="43"/>
      <c r="G115" s="43"/>
      <c r="H115" s="43"/>
      <c r="I115" s="43"/>
      <c r="J115" s="44"/>
      <c r="K115" s="44"/>
      <c r="L115" s="44"/>
      <c r="M115" s="44"/>
      <c r="N115" s="44"/>
      <c r="O115" s="44"/>
      <c r="P115" s="44"/>
      <c r="Q115" s="44"/>
      <c r="R115" s="44"/>
      <c r="S115" s="44"/>
      <c r="T115" s="44"/>
      <c r="U115" s="44"/>
      <c r="V115" s="44"/>
      <c r="W115" s="44"/>
      <c r="X115" s="44"/>
      <c r="Y115" s="44"/>
      <c r="Z115" s="44"/>
      <c r="AA115" s="43"/>
      <c r="AB115" s="43"/>
      <c r="AC115" s="43"/>
      <c r="AD115" s="43"/>
      <c r="AE115" s="43"/>
      <c r="AF115" s="43"/>
      <c r="AG115" s="43"/>
      <c r="AH115" s="43"/>
      <c r="AI115" s="43"/>
      <c r="AJ115" s="44"/>
      <c r="AK115" s="44"/>
      <c r="AL115" s="44"/>
      <c r="AM115" s="44"/>
      <c r="AN115" s="44"/>
      <c r="AO115" s="44"/>
      <c r="AP115" s="44"/>
      <c r="AQ115" s="44"/>
      <c r="AR115" s="44"/>
      <c r="AS115" s="44"/>
      <c r="AT115" s="44"/>
      <c r="AU115" s="44"/>
      <c r="AV115" s="44"/>
      <c r="AW115" s="44"/>
      <c r="AX115" s="44"/>
      <c r="AY115" s="44"/>
      <c r="AZ115" s="44"/>
    </row>
    <row r="116" spans="1:52" ht="14.25">
      <c r="A116" s="43"/>
      <c r="B116" s="43"/>
      <c r="C116" s="43"/>
      <c r="D116" s="43"/>
      <c r="E116" s="43"/>
      <c r="F116" s="43"/>
      <c r="G116" s="43"/>
      <c r="H116" s="43"/>
      <c r="I116" s="43"/>
      <c r="J116" s="44"/>
      <c r="K116" s="44"/>
      <c r="L116" s="44"/>
      <c r="M116" s="44"/>
      <c r="N116" s="44"/>
      <c r="O116" s="44"/>
      <c r="P116" s="44"/>
      <c r="Q116" s="44"/>
      <c r="R116" s="44"/>
      <c r="S116" s="44"/>
      <c r="T116" s="44"/>
      <c r="U116" s="44"/>
      <c r="V116" s="44"/>
      <c r="W116" s="44"/>
      <c r="X116" s="44"/>
      <c r="Y116" s="44"/>
      <c r="Z116" s="44"/>
      <c r="AA116" s="43"/>
      <c r="AB116" s="43"/>
      <c r="AC116" s="43"/>
      <c r="AD116" s="43"/>
      <c r="AE116" s="43"/>
      <c r="AF116" s="43"/>
      <c r="AG116" s="43"/>
      <c r="AH116" s="43"/>
      <c r="AI116" s="43"/>
      <c r="AJ116" s="44"/>
      <c r="AK116" s="44"/>
      <c r="AL116" s="44"/>
      <c r="AM116" s="44"/>
      <c r="AN116" s="44"/>
      <c r="AO116" s="44"/>
      <c r="AP116" s="44"/>
      <c r="AQ116" s="44"/>
      <c r="AR116" s="44"/>
      <c r="AS116" s="44"/>
      <c r="AT116" s="44"/>
      <c r="AU116" s="44"/>
      <c r="AV116" s="44"/>
      <c r="AW116" s="44"/>
      <c r="AX116" s="44"/>
      <c r="AY116" s="44"/>
      <c r="AZ116" s="44"/>
    </row>
    <row r="117" spans="1:52" ht="14.25">
      <c r="A117" s="43"/>
      <c r="B117" s="43"/>
      <c r="C117" s="43"/>
      <c r="D117" s="43"/>
      <c r="E117" s="43"/>
      <c r="F117" s="43"/>
      <c r="G117" s="43"/>
      <c r="H117" s="43"/>
      <c r="I117" s="43"/>
      <c r="J117" s="44"/>
      <c r="K117" s="44"/>
      <c r="L117" s="44"/>
      <c r="M117" s="44"/>
      <c r="N117" s="44"/>
      <c r="O117" s="44"/>
      <c r="P117" s="44"/>
      <c r="Q117" s="44"/>
      <c r="R117" s="44"/>
      <c r="S117" s="44"/>
      <c r="T117" s="44"/>
      <c r="U117" s="44"/>
      <c r="V117" s="44"/>
      <c r="W117" s="44"/>
      <c r="X117" s="44"/>
      <c r="Y117" s="44"/>
      <c r="Z117" s="44"/>
      <c r="AA117" s="43"/>
      <c r="AB117" s="43"/>
      <c r="AC117" s="43"/>
      <c r="AD117" s="43"/>
      <c r="AE117" s="43"/>
      <c r="AF117" s="43"/>
      <c r="AG117" s="43"/>
      <c r="AH117" s="43"/>
      <c r="AI117" s="43"/>
      <c r="AJ117" s="44"/>
      <c r="AK117" s="44"/>
      <c r="AL117" s="44"/>
      <c r="AM117" s="44"/>
      <c r="AN117" s="44"/>
      <c r="AO117" s="44"/>
      <c r="AP117" s="44"/>
      <c r="AQ117" s="44"/>
      <c r="AR117" s="44"/>
      <c r="AS117" s="44"/>
      <c r="AT117" s="44"/>
      <c r="AU117" s="44"/>
      <c r="AV117" s="44"/>
      <c r="AW117" s="44"/>
      <c r="AX117" s="44"/>
      <c r="AY117" s="44"/>
      <c r="AZ117" s="44"/>
    </row>
    <row r="118" spans="1:52" ht="14.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row>
    <row r="119" spans="1:52" ht="14.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row>
    <row r="120" spans="1:52" ht="14.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row>
    <row r="121" spans="1:52" ht="14.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row>
    <row r="122" spans="1:52" ht="14.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row>
    <row r="123" spans="1:52" ht="14.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row>
    <row r="124" spans="1:52" ht="14.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row>
    <row r="125" spans="1:52" ht="14.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row>
    <row r="126" spans="1:52" ht="14.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row>
    <row r="127" spans="1:52" ht="14.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row>
    <row r="128" spans="1:52" ht="14.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row>
  </sheetData>
  <sheetProtection algorithmName="SHA-512" hashValue="4A+ZlUQENMuHzMfZnAvDEM398nS5nW4l3UoHj5NW1XhQy4wZJX9kIm6aHHTXqo+xG/lzP0jTDB2jgDVqNrN0SA==" saltValue="sOBoGuHDuXlH7PfM5/5RRw==" spinCount="100000" sheet="1" selectLockedCells="1"/>
  <mergeCells count="149">
    <mergeCell ref="W50:X51"/>
    <mergeCell ref="R48:T49"/>
    <mergeCell ref="R50:T51"/>
    <mergeCell ref="L52:P53"/>
    <mergeCell ref="R52:T53"/>
    <mergeCell ref="W52:X53"/>
    <mergeCell ref="B50:D53"/>
    <mergeCell ref="E50:G53"/>
    <mergeCell ref="H50:J53"/>
    <mergeCell ref="B48:D49"/>
    <mergeCell ref="E48:G49"/>
    <mergeCell ref="H48:J49"/>
    <mergeCell ref="AH50:AJ53"/>
    <mergeCell ref="AB50:AD53"/>
    <mergeCell ref="AE50:AG53"/>
    <mergeCell ref="AL48:AP49"/>
    <mergeCell ref="AR48:AT49"/>
    <mergeCell ref="AW48:AX49"/>
    <mergeCell ref="AL50:AP51"/>
    <mergeCell ref="AR50:AT51"/>
    <mergeCell ref="AW50:AX51"/>
    <mergeCell ref="AL52:AP53"/>
    <mergeCell ref="AR52:AT53"/>
    <mergeCell ref="AW52:AX53"/>
    <mergeCell ref="AB48:AD49"/>
    <mergeCell ref="AE48:AG49"/>
    <mergeCell ref="AH48:AJ49"/>
    <mergeCell ref="W44:X45"/>
    <mergeCell ref="W46:X47"/>
    <mergeCell ref="R44:T45"/>
    <mergeCell ref="R46:T47"/>
    <mergeCell ref="W48:X49"/>
    <mergeCell ref="AL44:AP45"/>
    <mergeCell ref="AR44:AT45"/>
    <mergeCell ref="AW44:AX45"/>
    <mergeCell ref="AL46:AP47"/>
    <mergeCell ref="AR46:AT47"/>
    <mergeCell ref="AW46:AX47"/>
    <mergeCell ref="W40:X41"/>
    <mergeCell ref="W42:X43"/>
    <mergeCell ref="R40:T41"/>
    <mergeCell ref="R42:T43"/>
    <mergeCell ref="AL40:AP41"/>
    <mergeCell ref="AR40:AT41"/>
    <mergeCell ref="AW40:AX41"/>
    <mergeCell ref="AL42:AP43"/>
    <mergeCell ref="AR42:AT43"/>
    <mergeCell ref="AW42:AX43"/>
    <mergeCell ref="N39:Y39"/>
    <mergeCell ref="AN39:AY39"/>
    <mergeCell ref="R37:X38"/>
    <mergeCell ref="M36:Q37"/>
    <mergeCell ref="A34:T34"/>
    <mergeCell ref="W34:Y34"/>
    <mergeCell ref="A35:R35"/>
    <mergeCell ref="AM36:AQ37"/>
    <mergeCell ref="AR37:AX38"/>
    <mergeCell ref="AA35:AN35"/>
    <mergeCell ref="AA34:AT34"/>
    <mergeCell ref="AW34:AY34"/>
    <mergeCell ref="B22:G29"/>
    <mergeCell ref="I28:Y28"/>
    <mergeCell ref="I29:Y29"/>
    <mergeCell ref="AB22:AG29"/>
    <mergeCell ref="AI28:AY28"/>
    <mergeCell ref="AI29:AY29"/>
    <mergeCell ref="R21:Y21"/>
    <mergeCell ref="AR21:AY21"/>
    <mergeCell ref="O21:P21"/>
    <mergeCell ref="H21:N21"/>
    <mergeCell ref="I22:Y22"/>
    <mergeCell ref="I24:Y24"/>
    <mergeCell ref="AI24:AY24"/>
    <mergeCell ref="I26:Y26"/>
    <mergeCell ref="AI26:AY26"/>
    <mergeCell ref="I27:Y27"/>
    <mergeCell ref="AI27:AY27"/>
    <mergeCell ref="AI22:AY22"/>
    <mergeCell ref="I23:Y23"/>
    <mergeCell ref="AI23:AY23"/>
    <mergeCell ref="I25:Y25"/>
    <mergeCell ref="AI25:AY25"/>
    <mergeCell ref="N12:Z12"/>
    <mergeCell ref="N13:Z13"/>
    <mergeCell ref="N14:Z14"/>
    <mergeCell ref="AK12:AO12"/>
    <mergeCell ref="H20:Y20"/>
    <mergeCell ref="AH20:AY20"/>
    <mergeCell ref="B20:G20"/>
    <mergeCell ref="B21:G21"/>
    <mergeCell ref="AB20:AG20"/>
    <mergeCell ref="AB21:AG21"/>
    <mergeCell ref="AH21:AN21"/>
    <mergeCell ref="AO21:AP21"/>
    <mergeCell ref="H19:J19"/>
    <mergeCell ref="Q19:R19"/>
    <mergeCell ref="W19:Y19"/>
    <mergeCell ref="AH19:AJ19"/>
    <mergeCell ref="AQ19:AR19"/>
    <mergeCell ref="AW19:AY19"/>
    <mergeCell ref="K14:M14"/>
    <mergeCell ref="BE2:BF2"/>
    <mergeCell ref="L40:P41"/>
    <mergeCell ref="L42:P43"/>
    <mergeCell ref="L44:P45"/>
    <mergeCell ref="A16:Z16"/>
    <mergeCell ref="AA16:AZ16"/>
    <mergeCell ref="A17:Z17"/>
    <mergeCell ref="AA17:AZ17"/>
    <mergeCell ref="B19:G19"/>
    <mergeCell ref="AB19:AG19"/>
    <mergeCell ref="AP14:AY14"/>
    <mergeCell ref="AK14:AO14"/>
    <mergeCell ref="AA9:AZ9"/>
    <mergeCell ref="A10:Z10"/>
    <mergeCell ref="AA10:AZ10"/>
    <mergeCell ref="K11:M11"/>
    <mergeCell ref="AP11:AZ11"/>
    <mergeCell ref="N11:Z11"/>
    <mergeCell ref="A18:Z18"/>
    <mergeCell ref="AA18:AZ18"/>
    <mergeCell ref="K12:M12"/>
    <mergeCell ref="AP12:AZ12"/>
    <mergeCell ref="K13:M13"/>
    <mergeCell ref="AP13:AZ13"/>
    <mergeCell ref="L46:P47"/>
    <mergeCell ref="L48:P49"/>
    <mergeCell ref="L50:P51"/>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K11:AO11"/>
    <mergeCell ref="AK13:AO13"/>
    <mergeCell ref="A15:Z15"/>
    <mergeCell ref="AA15:AZ15"/>
  </mergeCells>
  <phoneticPr fontId="31"/>
  <conditionalFormatting sqref="V4">
    <cfRule type="cellIs" dxfId="64" priority="10" stopIfTrue="1" operator="equal">
      <formula>""</formula>
    </cfRule>
  </conditionalFormatting>
  <conditionalFormatting sqref="X4">
    <cfRule type="cellIs" dxfId="63" priority="9" stopIfTrue="1" operator="equal">
      <formula>""</formula>
    </cfRule>
  </conditionalFormatting>
  <conditionalFormatting sqref="R4:T4 V4 X4">
    <cfRule type="containsBlanks" dxfId="62" priority="6">
      <formula>LEN(TRIM(R4))=0</formula>
    </cfRule>
  </conditionalFormatting>
  <conditionalFormatting sqref="O21:P21">
    <cfRule type="containsBlanks" dxfId="61" priority="3">
      <formula>LEN(TRIM(O21))=0</formula>
    </cfRule>
  </conditionalFormatting>
  <conditionalFormatting sqref="H20:Y20">
    <cfRule type="cellIs" dxfId="60" priority="4" stopIfTrue="1" operator="equal">
      <formula>""</formula>
    </cfRule>
  </conditionalFormatting>
  <conditionalFormatting sqref="AO21:AP21">
    <cfRule type="containsBlanks" dxfId="59" priority="1">
      <formula>LEN(TRIM(AO21))=0</formula>
    </cfRule>
  </conditionalFormatting>
  <conditionalFormatting sqref="AH20:AY20">
    <cfRule type="cellIs" dxfId="58" priority="2" stopIfTrue="1" operator="equal">
      <formula>""</formula>
    </cfRule>
  </conditionalFormatting>
  <dataValidations count="4">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$BC$2:$BC$33</formula1>
    </dataValidation>
    <dataValidation type="list" allowBlank="1" showInputMessage="1" showErrorMessage="1" sqref="H22:H30 AH22:AH29" xr:uid="{547A9F27-1A09-46EB-87AD-CC7719BCC178}">
      <formula1>$AH$23</formula1>
    </dataValidation>
  </dataValidations>
  <printOptions horizontalCentered="1"/>
  <pageMargins left="0.39370078740157483" right="0.39370078740157483" top="0.39370078740157483" bottom="0.39370078740157483" header="0" footer="0"/>
  <pageSetup paperSize="9" scale="85" orientation="portrait" r:id="rId1"/>
  <headerFooter>
    <oddHeader>&amp;RⅥ-8</oddHeader>
  </headerFooter>
  <colBreaks count="1" manualBreakCount="1">
    <brk id="26" max="5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BO80"/>
  <sheetViews>
    <sheetView view="pageBreakPreview" zoomScale="85" zoomScaleNormal="100" zoomScaleSheetLayoutView="85" workbookViewId="0">
      <selection activeCell="V14" sqref="V14:AF17"/>
    </sheetView>
  </sheetViews>
  <sheetFormatPr defaultRowHeight="21"/>
  <cols>
    <col min="1" max="1" width="3.5" style="365" bestFit="1" customWidth="1"/>
    <col min="2" max="2" width="6.625" style="143" customWidth="1"/>
    <col min="3" max="4" width="2.625" style="49" customWidth="1"/>
    <col min="5" max="5" width="4.625" style="49" customWidth="1"/>
    <col min="6" max="6" width="2.625" style="143" customWidth="1"/>
    <col min="7" max="7" width="6.625" style="49" customWidth="1"/>
    <col min="8" max="9" width="2.625" style="49" customWidth="1"/>
    <col min="10" max="10" width="4.625" style="49" customWidth="1"/>
    <col min="11" max="11" width="2.625" style="49" customWidth="1"/>
    <col min="12" max="12" width="5.625" style="52" customWidth="1"/>
    <col min="13" max="16" width="5.625" style="49" customWidth="1"/>
    <col min="17" max="17" width="4.25" style="49" bestFit="1" customWidth="1"/>
    <col min="18" max="18" width="10.125" style="49" customWidth="1"/>
    <col min="19" max="19" width="4.25" style="49" bestFit="1" customWidth="1"/>
    <col min="20" max="20" width="9.375" style="49" customWidth="1"/>
    <col min="21" max="21" width="4.25" style="49" bestFit="1" customWidth="1"/>
    <col min="22" max="22" width="3.375" style="49" bestFit="1" customWidth="1"/>
    <col min="23" max="23" width="4.25" style="49" bestFit="1" customWidth="1"/>
    <col min="24" max="24" width="10.625" style="49" customWidth="1"/>
    <col min="25" max="25" width="4.25" style="49" bestFit="1" customWidth="1"/>
    <col min="26" max="26" width="4.75" style="49" bestFit="1" customWidth="1"/>
    <col min="27" max="27" width="4.25" style="49" bestFit="1" customWidth="1"/>
    <col min="28" max="28" width="5.625" style="49" customWidth="1"/>
    <col min="29" max="29" width="4.25" style="49" bestFit="1" customWidth="1"/>
    <col min="30" max="30" width="4.75" style="49" bestFit="1" customWidth="1"/>
    <col min="31" max="31" width="4.25" style="49" bestFit="1" customWidth="1"/>
    <col min="32" max="32" width="4.75" style="49" bestFit="1" customWidth="1"/>
    <col min="33" max="33" width="3" style="49" customWidth="1"/>
    <col min="34" max="34" width="6.625" style="49" customWidth="1"/>
    <col min="35" max="36" width="2.625" style="49" customWidth="1"/>
    <col min="37" max="37" width="4.625" style="49" customWidth="1"/>
    <col min="38" max="38" width="2.625" style="49" customWidth="1"/>
    <col min="39" max="39" width="6.625" style="49" customWidth="1"/>
    <col min="40" max="40" width="2.625" style="49" customWidth="1"/>
    <col min="41" max="41" width="4.625" style="49" customWidth="1"/>
    <col min="42" max="42" width="2.625" style="49" customWidth="1"/>
    <col min="43" max="43" width="4.375" style="52" customWidth="1"/>
    <col min="44" max="48" width="5.625" style="49" customWidth="1"/>
    <col min="49" max="49" width="10.125" style="49" customWidth="1"/>
    <col min="50" max="50" width="4.25" style="49" bestFit="1" customWidth="1"/>
    <col min="51" max="51" width="10.125" style="49" customWidth="1"/>
    <col min="52" max="52" width="4.25" style="49" bestFit="1" customWidth="1"/>
    <col min="53" max="53" width="10.125" style="49" customWidth="1"/>
    <col min="54" max="54" width="6.5" style="49" bestFit="1" customWidth="1"/>
    <col min="55" max="55" width="10.125" style="49" customWidth="1"/>
    <col min="56" max="56" width="6.5" style="49" bestFit="1" customWidth="1"/>
    <col min="57" max="60" width="6" style="49" bestFit="1" customWidth="1"/>
    <col min="61" max="61" width="4.75" style="49" bestFit="1" customWidth="1"/>
    <col min="62" max="62" width="4.25" style="49" bestFit="1" customWidth="1"/>
    <col min="63" max="63" width="4.75" style="49" bestFit="1" customWidth="1"/>
    <col min="64" max="64" width="14.625" style="49" customWidth="1"/>
    <col min="65" max="16384" width="9" style="49"/>
  </cols>
  <sheetData>
    <row r="1" spans="1:67" ht="12" customHeight="1">
      <c r="A1" s="664"/>
      <c r="B1" s="2722" t="s">
        <v>294</v>
      </c>
      <c r="C1" s="2722"/>
      <c r="D1" s="2722"/>
      <c r="E1" s="2722"/>
      <c r="F1" s="2722"/>
      <c r="G1" s="2722"/>
      <c r="H1" s="2722"/>
      <c r="I1" s="2722"/>
      <c r="J1" s="2722"/>
      <c r="K1" s="2722"/>
      <c r="L1" s="2722"/>
      <c r="M1" s="2722"/>
      <c r="N1" s="2722"/>
      <c r="O1" s="2722"/>
      <c r="P1" s="2722"/>
      <c r="Q1" s="2722"/>
      <c r="R1" s="2722"/>
      <c r="S1" s="2722"/>
      <c r="T1" s="2722"/>
      <c r="U1" s="2722"/>
      <c r="V1" s="2722"/>
      <c r="W1" s="2722"/>
      <c r="X1" s="2722"/>
      <c r="Y1" s="2722"/>
      <c r="Z1" s="2722"/>
      <c r="AA1" s="2722"/>
      <c r="AB1" s="2722"/>
      <c r="AC1" s="2722"/>
      <c r="AD1" s="2722"/>
      <c r="AE1" s="2722"/>
      <c r="AF1" s="2722"/>
      <c r="AG1" s="2715" t="s">
        <v>319</v>
      </c>
      <c r="AH1" s="2715"/>
      <c r="AI1" s="2715"/>
      <c r="AJ1" s="2715"/>
      <c r="AK1" s="2715"/>
      <c r="AL1" s="2715"/>
      <c r="AM1" s="2715"/>
      <c r="AN1" s="2715"/>
      <c r="AO1" s="2715"/>
      <c r="AP1" s="2715"/>
      <c r="AQ1" s="2715"/>
      <c r="AR1" s="2715"/>
      <c r="AS1" s="2715"/>
      <c r="AT1" s="2715"/>
      <c r="AU1" s="2715"/>
      <c r="AV1" s="2715"/>
      <c r="AW1" s="2715"/>
      <c r="AX1" s="2715"/>
      <c r="AY1" s="2715"/>
      <c r="AZ1" s="2715"/>
      <c r="BA1" s="2715"/>
      <c r="BB1" s="2715"/>
      <c r="BC1" s="2715"/>
      <c r="BD1" s="2715"/>
      <c r="BE1" s="2715"/>
      <c r="BF1" s="2715"/>
      <c r="BG1" s="2715"/>
      <c r="BH1" s="2715"/>
      <c r="BI1" s="2715"/>
      <c r="BJ1" s="2715"/>
      <c r="BK1" s="2715"/>
      <c r="BL1" s="664"/>
    </row>
    <row r="2" spans="1:67" ht="12" customHeight="1" thickBot="1">
      <c r="A2" s="664"/>
      <c r="B2" s="2722"/>
      <c r="C2" s="2722"/>
      <c r="D2" s="2722"/>
      <c r="E2" s="2722"/>
      <c r="F2" s="2722"/>
      <c r="G2" s="2722"/>
      <c r="H2" s="2722"/>
      <c r="I2" s="2722"/>
      <c r="J2" s="2722"/>
      <c r="K2" s="2722"/>
      <c r="L2" s="2722"/>
      <c r="M2" s="2722"/>
      <c r="N2" s="2722"/>
      <c r="O2" s="2722"/>
      <c r="P2" s="2722"/>
      <c r="Q2" s="2722"/>
      <c r="R2" s="2722"/>
      <c r="S2" s="2722"/>
      <c r="T2" s="2722"/>
      <c r="U2" s="2722"/>
      <c r="V2" s="2722"/>
      <c r="W2" s="2722"/>
      <c r="X2" s="2722"/>
      <c r="Y2" s="2722"/>
      <c r="Z2" s="2722"/>
      <c r="AA2" s="2722"/>
      <c r="AB2" s="2722"/>
      <c r="AC2" s="2722"/>
      <c r="AD2" s="2722"/>
      <c r="AE2" s="2722"/>
      <c r="AF2" s="2722"/>
      <c r="AG2" s="2715"/>
      <c r="AH2" s="2715"/>
      <c r="AI2" s="2715"/>
      <c r="AJ2" s="2715"/>
      <c r="AK2" s="2715"/>
      <c r="AL2" s="2715"/>
      <c r="AM2" s="2715"/>
      <c r="AN2" s="2715"/>
      <c r="AO2" s="2715"/>
      <c r="AP2" s="2715"/>
      <c r="AQ2" s="2715"/>
      <c r="AR2" s="2715"/>
      <c r="AS2" s="2715"/>
      <c r="AT2" s="2715"/>
      <c r="AU2" s="2715"/>
      <c r="AV2" s="2715"/>
      <c r="AW2" s="2715"/>
      <c r="AX2" s="2715"/>
      <c r="AY2" s="2715"/>
      <c r="AZ2" s="2715"/>
      <c r="BA2" s="2715"/>
      <c r="BB2" s="2715"/>
      <c r="BC2" s="2715"/>
      <c r="BD2" s="2715"/>
      <c r="BE2" s="2715"/>
      <c r="BF2" s="2715"/>
      <c r="BG2" s="2715"/>
      <c r="BH2" s="2715"/>
      <c r="BI2" s="2715"/>
      <c r="BJ2" s="2715"/>
      <c r="BK2" s="2715"/>
      <c r="BL2" s="664"/>
    </row>
    <row r="3" spans="1:67">
      <c r="A3" s="664"/>
      <c r="B3" s="665"/>
      <c r="C3" s="666"/>
      <c r="D3" s="666"/>
      <c r="E3" s="666"/>
      <c r="F3" s="667" t="s">
        <v>295</v>
      </c>
      <c r="G3" s="666"/>
      <c r="H3" s="666"/>
      <c r="I3" s="666"/>
      <c r="J3" s="666"/>
      <c r="K3" s="666"/>
      <c r="L3" s="668"/>
      <c r="M3" s="666"/>
      <c r="N3" s="666"/>
      <c r="O3" s="666"/>
      <c r="P3" s="666"/>
      <c r="Q3" s="666"/>
      <c r="R3" s="666"/>
      <c r="S3" s="666"/>
      <c r="T3" s="666"/>
      <c r="U3" s="666"/>
      <c r="V3" s="666"/>
      <c r="W3" s="666"/>
      <c r="X3" s="669"/>
      <c r="Y3" s="670"/>
      <c r="Z3" s="670"/>
      <c r="AA3" s="670"/>
      <c r="AB3" s="670"/>
      <c r="AC3" s="670"/>
      <c r="AD3" s="670"/>
      <c r="AE3" s="670"/>
      <c r="AF3" s="670"/>
      <c r="AG3" s="2740" t="s">
        <v>295</v>
      </c>
      <c r="AH3" s="2741"/>
      <c r="AI3" s="2741"/>
      <c r="AJ3" s="2741"/>
      <c r="AK3" s="2741"/>
      <c r="AL3" s="2741"/>
      <c r="AM3" s="2741"/>
      <c r="AN3" s="2741"/>
      <c r="AO3" s="2741"/>
      <c r="AP3" s="666"/>
      <c r="AQ3" s="668"/>
      <c r="AR3" s="666"/>
      <c r="AS3" s="666"/>
      <c r="AT3" s="666"/>
      <c r="AU3" s="666"/>
      <c r="AV3" s="666"/>
      <c r="AW3" s="666"/>
      <c r="AX3" s="666"/>
      <c r="AY3" s="666"/>
      <c r="AZ3" s="666"/>
      <c r="BA3" s="669"/>
      <c r="BB3" s="670"/>
      <c r="BC3" s="670"/>
      <c r="BD3" s="670"/>
      <c r="BE3" s="670"/>
      <c r="BF3" s="670"/>
      <c r="BG3" s="670"/>
      <c r="BH3" s="670"/>
      <c r="BI3" s="670"/>
      <c r="BJ3" s="670"/>
      <c r="BK3" s="670"/>
      <c r="BL3" s="664"/>
    </row>
    <row r="4" spans="1:67" ht="21" customHeight="1">
      <c r="A4" s="664"/>
      <c r="B4" s="671"/>
      <c r="C4" s="2725" t="s">
        <v>296</v>
      </c>
      <c r="D4" s="2725"/>
      <c r="E4" s="2725"/>
      <c r="F4" s="2725"/>
      <c r="G4" s="2725"/>
      <c r="H4" s="2725"/>
      <c r="I4" s="2725"/>
      <c r="J4" s="2725"/>
      <c r="K4" s="2725"/>
      <c r="L4" s="2725"/>
      <c r="M4" s="2725"/>
      <c r="N4" s="2725"/>
      <c r="O4" s="2725"/>
      <c r="P4" s="2725"/>
      <c r="Q4" s="2725"/>
      <c r="R4" s="2725"/>
      <c r="S4" s="2725"/>
      <c r="T4" s="2725"/>
      <c r="U4" s="2725"/>
      <c r="V4" s="2725"/>
      <c r="W4" s="2725"/>
      <c r="X4" s="2726"/>
      <c r="Y4" s="672"/>
      <c r="Z4" s="672"/>
      <c r="AA4" s="670"/>
      <c r="AB4" s="670"/>
      <c r="AC4" s="670"/>
      <c r="AD4" s="670"/>
      <c r="AE4" s="670"/>
      <c r="AF4" s="670"/>
      <c r="AG4" s="696"/>
      <c r="AH4" s="2725" t="s">
        <v>296</v>
      </c>
      <c r="AI4" s="2725"/>
      <c r="AJ4" s="2725"/>
      <c r="AK4" s="2725"/>
      <c r="AL4" s="2725"/>
      <c r="AM4" s="2725"/>
      <c r="AN4" s="2725"/>
      <c r="AO4" s="2725"/>
      <c r="AP4" s="2725"/>
      <c r="AQ4" s="2725"/>
      <c r="AR4" s="2725"/>
      <c r="AS4" s="2725"/>
      <c r="AT4" s="2725"/>
      <c r="AU4" s="2725"/>
      <c r="AV4" s="2725"/>
      <c r="AW4" s="2725"/>
      <c r="AX4" s="2725"/>
      <c r="AY4" s="2725"/>
      <c r="AZ4" s="2725"/>
      <c r="BA4" s="2726"/>
      <c r="BB4" s="670"/>
      <c r="BC4" s="670"/>
      <c r="BD4" s="670"/>
      <c r="BE4" s="670"/>
      <c r="BF4" s="670"/>
      <c r="BG4" s="670"/>
      <c r="BH4" s="670"/>
      <c r="BI4" s="670"/>
      <c r="BJ4" s="670"/>
      <c r="BK4" s="670"/>
      <c r="BL4" s="664"/>
    </row>
    <row r="5" spans="1:67" ht="21" customHeight="1">
      <c r="A5" s="664"/>
      <c r="B5" s="671"/>
      <c r="C5" s="2725" t="s">
        <v>297</v>
      </c>
      <c r="D5" s="2725"/>
      <c r="E5" s="2725"/>
      <c r="F5" s="2725"/>
      <c r="G5" s="2725"/>
      <c r="H5" s="2725"/>
      <c r="I5" s="2725"/>
      <c r="J5" s="2725"/>
      <c r="K5" s="2725"/>
      <c r="L5" s="2725"/>
      <c r="M5" s="2725"/>
      <c r="N5" s="2725"/>
      <c r="O5" s="2725"/>
      <c r="P5" s="2725"/>
      <c r="Q5" s="2725"/>
      <c r="R5" s="2725"/>
      <c r="S5" s="2725"/>
      <c r="T5" s="2725"/>
      <c r="U5" s="2725"/>
      <c r="V5" s="2725"/>
      <c r="W5" s="2725"/>
      <c r="X5" s="2726"/>
      <c r="Y5" s="670"/>
      <c r="Z5" s="670"/>
      <c r="AA5" s="670"/>
      <c r="AB5" s="670"/>
      <c r="AC5" s="670"/>
      <c r="AD5" s="670"/>
      <c r="AE5" s="670"/>
      <c r="AF5" s="670"/>
      <c r="AG5" s="696"/>
      <c r="AH5" s="2725" t="s">
        <v>297</v>
      </c>
      <c r="AI5" s="2725"/>
      <c r="AJ5" s="2725"/>
      <c r="AK5" s="2725"/>
      <c r="AL5" s="2725"/>
      <c r="AM5" s="2725"/>
      <c r="AN5" s="2725"/>
      <c r="AO5" s="2725"/>
      <c r="AP5" s="2725"/>
      <c r="AQ5" s="2725"/>
      <c r="AR5" s="2725"/>
      <c r="AS5" s="2725"/>
      <c r="AT5" s="2725"/>
      <c r="AU5" s="2725"/>
      <c r="AV5" s="2725"/>
      <c r="AW5" s="2725"/>
      <c r="AX5" s="2725"/>
      <c r="AY5" s="2725"/>
      <c r="AZ5" s="2725"/>
      <c r="BA5" s="2726"/>
      <c r="BB5" s="670"/>
      <c r="BC5" s="670"/>
      <c r="BD5" s="670"/>
      <c r="BE5" s="670"/>
      <c r="BF5" s="670"/>
      <c r="BG5" s="670"/>
      <c r="BH5" s="670"/>
      <c r="BI5" s="670"/>
      <c r="BJ5" s="670"/>
      <c r="BK5" s="670"/>
      <c r="BL5" s="664"/>
    </row>
    <row r="6" spans="1:67" ht="21" customHeight="1">
      <c r="A6" s="664"/>
      <c r="B6" s="671"/>
      <c r="C6" s="2725" t="s">
        <v>298</v>
      </c>
      <c r="D6" s="2725"/>
      <c r="E6" s="2725"/>
      <c r="F6" s="2725"/>
      <c r="G6" s="2725"/>
      <c r="H6" s="2725"/>
      <c r="I6" s="2725"/>
      <c r="J6" s="2725"/>
      <c r="K6" s="2725"/>
      <c r="L6" s="2725"/>
      <c r="M6" s="2725"/>
      <c r="N6" s="2725"/>
      <c r="O6" s="2725"/>
      <c r="P6" s="2725"/>
      <c r="Q6" s="2725"/>
      <c r="R6" s="2725"/>
      <c r="S6" s="2725"/>
      <c r="T6" s="2725"/>
      <c r="U6" s="2725"/>
      <c r="V6" s="2725"/>
      <c r="W6" s="2725"/>
      <c r="X6" s="2726"/>
      <c r="Y6" s="670"/>
      <c r="Z6" s="670"/>
      <c r="AA6" s="670"/>
      <c r="AB6" s="670"/>
      <c r="AC6" s="670"/>
      <c r="AD6" s="670"/>
      <c r="AE6" s="670"/>
      <c r="AF6" s="670"/>
      <c r="AG6" s="696"/>
      <c r="AH6" s="2725" t="s">
        <v>313</v>
      </c>
      <c r="AI6" s="2725"/>
      <c r="AJ6" s="2725"/>
      <c r="AK6" s="2725"/>
      <c r="AL6" s="2725"/>
      <c r="AM6" s="2725"/>
      <c r="AN6" s="2725"/>
      <c r="AO6" s="2725"/>
      <c r="AP6" s="2725"/>
      <c r="AQ6" s="2725"/>
      <c r="AR6" s="2725"/>
      <c r="AS6" s="2725"/>
      <c r="AT6" s="2725"/>
      <c r="AU6" s="2725"/>
      <c r="AV6" s="2725"/>
      <c r="AW6" s="2725"/>
      <c r="AX6" s="2725"/>
      <c r="AY6" s="2725"/>
      <c r="AZ6" s="2725"/>
      <c r="BA6" s="2726"/>
      <c r="BB6" s="670"/>
      <c r="BC6" s="670"/>
      <c r="BD6" s="670"/>
      <c r="BE6" s="670"/>
      <c r="BF6" s="670"/>
      <c r="BG6" s="670"/>
      <c r="BH6" s="670"/>
      <c r="BI6" s="670"/>
      <c r="BJ6" s="670"/>
      <c r="BK6" s="670"/>
      <c r="BL6" s="664"/>
    </row>
    <row r="7" spans="1:67" ht="21" customHeight="1">
      <c r="A7" s="664"/>
      <c r="B7" s="671"/>
      <c r="C7" s="2725" t="s">
        <v>299</v>
      </c>
      <c r="D7" s="2725"/>
      <c r="E7" s="2725"/>
      <c r="F7" s="2725"/>
      <c r="G7" s="2725"/>
      <c r="H7" s="2725"/>
      <c r="I7" s="2725"/>
      <c r="J7" s="2725"/>
      <c r="K7" s="2725"/>
      <c r="L7" s="2725"/>
      <c r="M7" s="2725"/>
      <c r="N7" s="2725"/>
      <c r="O7" s="2725"/>
      <c r="P7" s="2725"/>
      <c r="Q7" s="2725"/>
      <c r="R7" s="2725"/>
      <c r="S7" s="2725"/>
      <c r="T7" s="2725"/>
      <c r="U7" s="2725"/>
      <c r="V7" s="2725"/>
      <c r="W7" s="2725"/>
      <c r="X7" s="2726"/>
      <c r="Y7" s="670"/>
      <c r="Z7" s="670"/>
      <c r="AA7" s="670"/>
      <c r="AB7" s="670"/>
      <c r="AC7" s="670"/>
      <c r="AD7" s="670"/>
      <c r="AE7" s="670"/>
      <c r="AF7" s="670"/>
      <c r="AG7" s="696"/>
      <c r="AH7" s="2725" t="s">
        <v>299</v>
      </c>
      <c r="AI7" s="2725"/>
      <c r="AJ7" s="2725"/>
      <c r="AK7" s="2725"/>
      <c r="AL7" s="2725"/>
      <c r="AM7" s="2725"/>
      <c r="AN7" s="2725"/>
      <c r="AO7" s="2725"/>
      <c r="AP7" s="2725"/>
      <c r="AQ7" s="2725"/>
      <c r="AR7" s="2725"/>
      <c r="AS7" s="2725"/>
      <c r="AT7" s="2725"/>
      <c r="AU7" s="2725"/>
      <c r="AV7" s="2725"/>
      <c r="AW7" s="2725"/>
      <c r="AX7" s="2725"/>
      <c r="AY7" s="2725"/>
      <c r="AZ7" s="2725"/>
      <c r="BA7" s="2726"/>
      <c r="BB7" s="670"/>
      <c r="BC7" s="670"/>
      <c r="BD7" s="670"/>
      <c r="BE7" s="670"/>
      <c r="BF7" s="670"/>
      <c r="BG7" s="670"/>
      <c r="BH7" s="670"/>
      <c r="BI7" s="670"/>
      <c r="BJ7" s="670"/>
      <c r="BK7" s="670"/>
      <c r="BL7" s="664"/>
      <c r="BM7" s="60" t="s">
        <v>407</v>
      </c>
      <c r="BN7" s="49">
        <v>1</v>
      </c>
      <c r="BO7" s="49">
        <v>0</v>
      </c>
    </row>
    <row r="8" spans="1:67" ht="21.75" customHeight="1" thickBot="1">
      <c r="A8" s="664"/>
      <c r="B8" s="673"/>
      <c r="C8" s="2731" t="s">
        <v>300</v>
      </c>
      <c r="D8" s="2731"/>
      <c r="E8" s="2731"/>
      <c r="F8" s="2731"/>
      <c r="G8" s="2731"/>
      <c r="H8" s="2731"/>
      <c r="I8" s="2731"/>
      <c r="J8" s="2731"/>
      <c r="K8" s="2731"/>
      <c r="L8" s="2731"/>
      <c r="M8" s="2731"/>
      <c r="N8" s="2731"/>
      <c r="O8" s="2731"/>
      <c r="P8" s="2731"/>
      <c r="Q8" s="2731"/>
      <c r="R8" s="2731"/>
      <c r="S8" s="2731"/>
      <c r="T8" s="2731"/>
      <c r="U8" s="2731"/>
      <c r="V8" s="2731"/>
      <c r="W8" s="2731"/>
      <c r="X8" s="2732"/>
      <c r="Y8" s="670"/>
      <c r="Z8" s="670"/>
      <c r="AA8" s="670"/>
      <c r="AB8" s="670"/>
      <c r="AC8" s="670"/>
      <c r="AD8" s="670"/>
      <c r="AE8" s="670"/>
      <c r="AF8" s="670"/>
      <c r="AG8" s="697"/>
      <c r="AH8" s="2731" t="s">
        <v>300</v>
      </c>
      <c r="AI8" s="2731"/>
      <c r="AJ8" s="2731"/>
      <c r="AK8" s="2731"/>
      <c r="AL8" s="2731"/>
      <c r="AM8" s="2731"/>
      <c r="AN8" s="2731"/>
      <c r="AO8" s="2731"/>
      <c r="AP8" s="2731"/>
      <c r="AQ8" s="2731"/>
      <c r="AR8" s="2731"/>
      <c r="AS8" s="2731"/>
      <c r="AT8" s="2731"/>
      <c r="AU8" s="2731"/>
      <c r="AV8" s="2731"/>
      <c r="AW8" s="2731"/>
      <c r="AX8" s="2731"/>
      <c r="AY8" s="2731"/>
      <c r="AZ8" s="2731"/>
      <c r="BA8" s="2732"/>
      <c r="BB8" s="670"/>
      <c r="BC8" s="670"/>
      <c r="BD8" s="670"/>
      <c r="BE8" s="670"/>
      <c r="BF8" s="670"/>
      <c r="BG8" s="670"/>
      <c r="BH8" s="670"/>
      <c r="BI8" s="670"/>
      <c r="BJ8" s="670"/>
      <c r="BK8" s="670"/>
      <c r="BL8" s="664"/>
      <c r="BM8" s="60" t="s">
        <v>408</v>
      </c>
      <c r="BN8" s="49">
        <v>2</v>
      </c>
      <c r="BO8" s="49">
        <v>5</v>
      </c>
    </row>
    <row r="9" spans="1:67">
      <c r="A9" s="664"/>
      <c r="B9" s="674"/>
      <c r="C9" s="670"/>
      <c r="D9" s="670"/>
      <c r="E9" s="670"/>
      <c r="F9" s="674"/>
      <c r="G9" s="675"/>
      <c r="H9" s="675"/>
      <c r="I9" s="675"/>
      <c r="J9" s="675"/>
      <c r="K9" s="670"/>
      <c r="L9" s="676"/>
      <c r="M9" s="670"/>
      <c r="N9" s="670"/>
      <c r="O9" s="670"/>
      <c r="P9" s="670"/>
      <c r="Q9" s="670"/>
      <c r="R9" s="670"/>
      <c r="S9" s="670"/>
      <c r="T9" s="670"/>
      <c r="U9" s="670"/>
      <c r="V9" s="670"/>
      <c r="W9" s="670"/>
      <c r="X9" s="670"/>
      <c r="Y9" s="670"/>
      <c r="Z9" s="670"/>
      <c r="AA9" s="670"/>
      <c r="AB9" s="670"/>
      <c r="AC9" s="670"/>
      <c r="AD9" s="670"/>
      <c r="AE9" s="670"/>
      <c r="AF9" s="670"/>
      <c r="AG9" s="664"/>
      <c r="AH9" s="664"/>
      <c r="AI9" s="664"/>
      <c r="AJ9" s="664"/>
      <c r="AK9" s="664"/>
      <c r="AL9" s="664"/>
      <c r="AM9" s="664"/>
      <c r="AN9" s="664"/>
      <c r="AO9" s="664"/>
      <c r="AP9" s="664"/>
      <c r="AQ9" s="698"/>
      <c r="AR9" s="664"/>
      <c r="AS9" s="664"/>
      <c r="AT9" s="664"/>
      <c r="AU9" s="664"/>
      <c r="AV9" s="664"/>
      <c r="AW9" s="664"/>
      <c r="AX9" s="664"/>
      <c r="AY9" s="664"/>
      <c r="AZ9" s="664"/>
      <c r="BA9" s="664"/>
      <c r="BB9" s="664"/>
      <c r="BC9" s="664"/>
      <c r="BD9" s="664"/>
      <c r="BE9" s="664"/>
      <c r="BF9" s="664"/>
      <c r="BG9" s="664"/>
      <c r="BH9" s="664"/>
      <c r="BI9" s="664"/>
      <c r="BJ9" s="664"/>
      <c r="BK9" s="664"/>
      <c r="BL9" s="664"/>
      <c r="BN9" s="49">
        <v>3</v>
      </c>
      <c r="BO9" s="365">
        <v>10</v>
      </c>
    </row>
    <row r="10" spans="1:67" ht="20.100000000000001" customHeight="1">
      <c r="A10" s="664"/>
      <c r="B10" s="2723">
        <f>'01 使用承認申請書'!D4</f>
        <v>0</v>
      </c>
      <c r="C10" s="2723"/>
      <c r="D10" s="2723"/>
      <c r="E10" s="2723"/>
      <c r="F10" s="2723"/>
      <c r="G10" s="2723"/>
      <c r="H10" s="2723"/>
      <c r="I10" s="2723"/>
      <c r="J10" s="2723"/>
      <c r="K10" s="2723"/>
      <c r="L10" s="2723"/>
      <c r="M10" s="2723"/>
      <c r="N10" s="2723"/>
      <c r="O10" s="2723"/>
      <c r="P10" s="2723"/>
      <c r="Q10" s="2716" t="s">
        <v>301</v>
      </c>
      <c r="R10" s="2716"/>
      <c r="S10" s="677" t="s">
        <v>302</v>
      </c>
      <c r="T10" s="678">
        <f>'01 使用承認申請書'!$B$12</f>
        <v>0</v>
      </c>
      <c r="U10" s="677" t="s">
        <v>18</v>
      </c>
      <c r="V10" s="678" t="str">
        <f>CONCATENATE('01 使用承認申請書'!$C$14)</f>
        <v/>
      </c>
      <c r="W10" s="677" t="s">
        <v>17</v>
      </c>
      <c r="X10" s="679" t="str">
        <f>CONCATENATE('01 使用承認申請書'!$F$14)</f>
        <v/>
      </c>
      <c r="Y10" s="680" t="s">
        <v>16</v>
      </c>
      <c r="Z10" s="678" t="s">
        <v>288</v>
      </c>
      <c r="AA10" s="680" t="str">
        <f>CONCATENATE('01 使用承認申請書'!$J$14)</f>
        <v/>
      </c>
      <c r="AB10" s="681" t="s">
        <v>61</v>
      </c>
      <c r="AC10" s="677"/>
      <c r="AD10" s="677"/>
      <c r="AE10" s="677"/>
      <c r="AF10" s="677"/>
      <c r="AG10" s="664"/>
      <c r="AH10" s="672"/>
      <c r="AI10" s="672"/>
      <c r="AJ10" s="672"/>
      <c r="AK10" s="672"/>
      <c r="AL10" s="672"/>
      <c r="AM10" s="672"/>
      <c r="AN10" s="672"/>
      <c r="AO10" s="672"/>
      <c r="AP10" s="672"/>
      <c r="AQ10" s="672"/>
      <c r="AR10" s="672"/>
      <c r="AS10" s="672"/>
      <c r="AT10" s="672"/>
      <c r="AU10" s="672"/>
      <c r="AV10" s="2716" t="s">
        <v>301</v>
      </c>
      <c r="AW10" s="2716"/>
      <c r="AX10" s="677" t="s">
        <v>302</v>
      </c>
      <c r="AY10" s="678">
        <f>'01 使用承認申請書'!$B$12</f>
        <v>0</v>
      </c>
      <c r="AZ10" s="677" t="s">
        <v>18</v>
      </c>
      <c r="BA10" s="678">
        <v>10</v>
      </c>
      <c r="BB10" s="677" t="s">
        <v>17</v>
      </c>
      <c r="BC10" s="679">
        <v>12</v>
      </c>
      <c r="BD10" s="680" t="s">
        <v>16</v>
      </c>
      <c r="BE10" s="678" t="s">
        <v>43</v>
      </c>
      <c r="BF10" s="680" t="s">
        <v>2840</v>
      </c>
      <c r="BG10" s="681" t="s">
        <v>61</v>
      </c>
      <c r="BH10" s="677"/>
      <c r="BI10" s="677"/>
      <c r="BJ10" s="677"/>
      <c r="BK10" s="677"/>
      <c r="BL10" s="677"/>
      <c r="BN10" s="365">
        <v>4</v>
      </c>
      <c r="BO10" s="365">
        <v>15</v>
      </c>
    </row>
    <row r="11" spans="1:67" ht="24.95" customHeight="1">
      <c r="A11" s="664"/>
      <c r="B11" s="2723"/>
      <c r="C11" s="2723"/>
      <c r="D11" s="2723"/>
      <c r="E11" s="2723"/>
      <c r="F11" s="2723"/>
      <c r="G11" s="2723"/>
      <c r="H11" s="2723"/>
      <c r="I11" s="2723"/>
      <c r="J11" s="2723"/>
      <c r="K11" s="2723"/>
      <c r="L11" s="2723"/>
      <c r="M11" s="2723"/>
      <c r="N11" s="2723"/>
      <c r="O11" s="2723"/>
      <c r="P11" s="2723"/>
      <c r="Q11" s="2717"/>
      <c r="R11" s="2717"/>
      <c r="S11" s="2717"/>
      <c r="T11" s="682"/>
      <c r="U11" s="682"/>
      <c r="V11" s="682"/>
      <c r="W11" s="682" t="s">
        <v>92</v>
      </c>
      <c r="X11" s="683">
        <f>$T$10</f>
        <v>0</v>
      </c>
      <c r="Y11" s="682" t="s">
        <v>18</v>
      </c>
      <c r="Z11" s="683" t="str">
        <f>CONCATENATE('01 使用承認申請書'!$C$16)</f>
        <v/>
      </c>
      <c r="AA11" s="682" t="s">
        <v>17</v>
      </c>
      <c r="AB11" s="678" t="str">
        <f>CONCATENATE('01 使用承認申請書'!$F$16)</f>
        <v/>
      </c>
      <c r="AC11" s="682" t="s">
        <v>16</v>
      </c>
      <c r="AD11" s="683" t="s">
        <v>288</v>
      </c>
      <c r="AE11" s="684" t="str">
        <f>CONCATENATE('01 使用承認申請書'!$J$16)</f>
        <v/>
      </c>
      <c r="AF11" s="682" t="s">
        <v>48</v>
      </c>
      <c r="AG11" s="664"/>
      <c r="AH11" s="672"/>
      <c r="AI11" s="672"/>
      <c r="AJ11" s="672"/>
      <c r="AK11" s="672"/>
      <c r="AL11" s="672"/>
      <c r="AM11" s="672"/>
      <c r="AN11" s="672"/>
      <c r="AO11" s="672"/>
      <c r="AP11" s="672"/>
      <c r="AQ11" s="672"/>
      <c r="AR11" s="672"/>
      <c r="AS11" s="672"/>
      <c r="AT11" s="672"/>
      <c r="AU11" s="672"/>
      <c r="AV11" s="2717"/>
      <c r="AW11" s="2717"/>
      <c r="AX11" s="2717"/>
      <c r="AY11" s="682"/>
      <c r="AZ11" s="682"/>
      <c r="BA11" s="682"/>
      <c r="BB11" s="682" t="s">
        <v>40</v>
      </c>
      <c r="BC11" s="683">
        <f>$T$10</f>
        <v>0</v>
      </c>
      <c r="BD11" s="682" t="s">
        <v>18</v>
      </c>
      <c r="BE11" s="683">
        <v>10</v>
      </c>
      <c r="BF11" s="682" t="s">
        <v>17</v>
      </c>
      <c r="BG11" s="683">
        <v>13</v>
      </c>
      <c r="BH11" s="682" t="s">
        <v>16</v>
      </c>
      <c r="BI11" s="683" t="s">
        <v>43</v>
      </c>
      <c r="BJ11" s="684" t="s">
        <v>2841</v>
      </c>
      <c r="BK11" s="682" t="s">
        <v>48</v>
      </c>
      <c r="BL11" s="682"/>
      <c r="BM11" s="405" t="s">
        <v>2850</v>
      </c>
      <c r="BN11" s="365">
        <v>5</v>
      </c>
      <c r="BO11" s="365">
        <v>20</v>
      </c>
    </row>
    <row r="12" spans="1:67" ht="24.95" customHeight="1" thickBot="1">
      <c r="A12" s="2733" t="s">
        <v>2838</v>
      </c>
      <c r="B12" s="2733"/>
      <c r="C12" s="2733"/>
      <c r="D12" s="2733"/>
      <c r="E12" s="685"/>
      <c r="F12" s="685"/>
      <c r="G12" s="685"/>
      <c r="H12" s="685"/>
      <c r="I12" s="685"/>
      <c r="J12" s="685"/>
      <c r="K12" s="685"/>
      <c r="L12" s="685"/>
      <c r="M12" s="685"/>
      <c r="N12" s="685"/>
      <c r="O12" s="685"/>
      <c r="P12" s="686"/>
      <c r="Q12" s="2717" t="s">
        <v>303</v>
      </c>
      <c r="R12" s="2717"/>
      <c r="S12" s="682" t="s">
        <v>304</v>
      </c>
      <c r="T12" s="2724" t="str">
        <f>CONCATENATE('01 使用承認申請書'!D4)</f>
        <v/>
      </c>
      <c r="U12" s="2724"/>
      <c r="V12" s="2724"/>
      <c r="W12" s="2724"/>
      <c r="X12" s="2724"/>
      <c r="Y12" s="2724"/>
      <c r="Z12" s="2724"/>
      <c r="AA12" s="2724"/>
      <c r="AB12" s="2724"/>
      <c r="AC12" s="2724"/>
      <c r="AD12" s="2724"/>
      <c r="AE12" s="2724"/>
      <c r="AF12" s="2724"/>
      <c r="AG12" s="2733" t="s">
        <v>2838</v>
      </c>
      <c r="AH12" s="2733"/>
      <c r="AI12" s="2733"/>
      <c r="AJ12" s="2733"/>
      <c r="AK12" s="685"/>
      <c r="AL12" s="685"/>
      <c r="AM12" s="685"/>
      <c r="AN12" s="685"/>
      <c r="AO12" s="685"/>
      <c r="AP12" s="685"/>
      <c r="AQ12" s="685"/>
      <c r="AR12" s="685"/>
      <c r="AS12" s="685"/>
      <c r="AT12" s="685"/>
      <c r="AU12" s="685"/>
      <c r="AV12" s="686"/>
      <c r="AW12" s="2717" t="s">
        <v>303</v>
      </c>
      <c r="AX12" s="2717"/>
      <c r="AY12" s="682" t="s">
        <v>304</v>
      </c>
      <c r="AZ12" s="2724" t="s">
        <v>2849</v>
      </c>
      <c r="BA12" s="2724"/>
      <c r="BB12" s="2724"/>
      <c r="BC12" s="2724"/>
      <c r="BD12" s="2724"/>
      <c r="BE12" s="2724"/>
      <c r="BF12" s="2724"/>
      <c r="BG12" s="2724"/>
      <c r="BH12" s="2724"/>
      <c r="BI12" s="2724"/>
      <c r="BJ12" s="2724"/>
      <c r="BK12" s="2724"/>
      <c r="BL12" s="2724"/>
      <c r="BM12" s="405" t="s">
        <v>2851</v>
      </c>
      <c r="BN12" s="365">
        <v>6</v>
      </c>
      <c r="BO12" s="365">
        <v>25</v>
      </c>
    </row>
    <row r="13" spans="1:67" ht="39.950000000000003" customHeight="1" thickBot="1">
      <c r="A13" s="2727" t="s">
        <v>2837</v>
      </c>
      <c r="B13" s="2728"/>
      <c r="C13" s="2728"/>
      <c r="D13" s="2728"/>
      <c r="E13" s="2728"/>
      <c r="F13" s="2728"/>
      <c r="G13" s="2728"/>
      <c r="H13" s="2728"/>
      <c r="I13" s="2728"/>
      <c r="J13" s="2728"/>
      <c r="K13" s="2729"/>
      <c r="L13" s="2719" t="s">
        <v>2854</v>
      </c>
      <c r="M13" s="2728"/>
      <c r="N13" s="2728"/>
      <c r="O13" s="2728"/>
      <c r="P13" s="2730"/>
      <c r="Q13" s="2718" t="s">
        <v>305</v>
      </c>
      <c r="R13" s="2721"/>
      <c r="S13" s="687" t="s">
        <v>306</v>
      </c>
      <c r="T13" s="2719" t="s">
        <v>307</v>
      </c>
      <c r="U13" s="2721"/>
      <c r="V13" s="2718" t="s">
        <v>508</v>
      </c>
      <c r="W13" s="2719"/>
      <c r="X13" s="2719"/>
      <c r="Y13" s="2719"/>
      <c r="Z13" s="2719"/>
      <c r="AA13" s="2719"/>
      <c r="AB13" s="2719"/>
      <c r="AC13" s="2719"/>
      <c r="AD13" s="2719"/>
      <c r="AE13" s="2719"/>
      <c r="AF13" s="2720"/>
      <c r="AG13" s="2727" t="s">
        <v>2837</v>
      </c>
      <c r="AH13" s="2728"/>
      <c r="AI13" s="2728"/>
      <c r="AJ13" s="2728"/>
      <c r="AK13" s="2728"/>
      <c r="AL13" s="2728"/>
      <c r="AM13" s="2728"/>
      <c r="AN13" s="2728"/>
      <c r="AO13" s="2728"/>
      <c r="AP13" s="2728"/>
      <c r="AQ13" s="2729"/>
      <c r="AR13" s="2719" t="s">
        <v>2856</v>
      </c>
      <c r="AS13" s="2728"/>
      <c r="AT13" s="2728"/>
      <c r="AU13" s="2728"/>
      <c r="AV13" s="2730"/>
      <c r="AW13" s="2718" t="s">
        <v>305</v>
      </c>
      <c r="AX13" s="2721"/>
      <c r="AY13" s="699" t="s">
        <v>306</v>
      </c>
      <c r="AZ13" s="2719" t="s">
        <v>307</v>
      </c>
      <c r="BA13" s="2721"/>
      <c r="BB13" s="2718" t="s">
        <v>508</v>
      </c>
      <c r="BC13" s="2719"/>
      <c r="BD13" s="2719"/>
      <c r="BE13" s="2719"/>
      <c r="BF13" s="2719"/>
      <c r="BG13" s="2719"/>
      <c r="BH13" s="2719"/>
      <c r="BI13" s="2719"/>
      <c r="BJ13" s="2719"/>
      <c r="BK13" s="2719"/>
      <c r="BL13" s="2720"/>
      <c r="BM13" s="405" t="s">
        <v>2852</v>
      </c>
      <c r="BN13" s="365">
        <v>7</v>
      </c>
      <c r="BO13" s="365">
        <v>30</v>
      </c>
    </row>
    <row r="14" spans="1:67" s="365" customFormat="1" ht="15" customHeight="1" thickTop="1">
      <c r="A14" s="2711" t="s">
        <v>2832</v>
      </c>
      <c r="B14" s="2712" t="s">
        <v>2827</v>
      </c>
      <c r="C14" s="2667"/>
      <c r="D14" s="2667"/>
      <c r="E14" s="2667"/>
      <c r="F14" s="2713"/>
      <c r="G14" s="2667" t="s">
        <v>2828</v>
      </c>
      <c r="H14" s="2667"/>
      <c r="I14" s="2667"/>
      <c r="J14" s="2667"/>
      <c r="K14" s="2668"/>
      <c r="L14" s="2676"/>
      <c r="M14" s="2676"/>
      <c r="N14" s="2676"/>
      <c r="O14" s="2676"/>
      <c r="P14" s="2677"/>
      <c r="Q14" s="2682"/>
      <c r="R14" s="2683"/>
      <c r="S14" s="2688"/>
      <c r="T14" s="2682"/>
      <c r="U14" s="2683"/>
      <c r="V14" s="2691"/>
      <c r="W14" s="2692"/>
      <c r="X14" s="2692"/>
      <c r="Y14" s="2692"/>
      <c r="Z14" s="2692"/>
      <c r="AA14" s="2692"/>
      <c r="AB14" s="2692"/>
      <c r="AC14" s="2692"/>
      <c r="AD14" s="2692"/>
      <c r="AE14" s="2692"/>
      <c r="AF14" s="2693"/>
      <c r="AG14" s="2711" t="s">
        <v>2832</v>
      </c>
      <c r="AH14" s="2712" t="s">
        <v>2827</v>
      </c>
      <c r="AI14" s="2667"/>
      <c r="AJ14" s="2667"/>
      <c r="AK14" s="2667"/>
      <c r="AL14" s="2713"/>
      <c r="AM14" s="2667" t="s">
        <v>2828</v>
      </c>
      <c r="AN14" s="2667"/>
      <c r="AO14" s="2667"/>
      <c r="AP14" s="2667"/>
      <c r="AQ14" s="2668"/>
      <c r="AR14" s="2676" t="s">
        <v>3053</v>
      </c>
      <c r="AS14" s="2676"/>
      <c r="AT14" s="2676"/>
      <c r="AU14" s="2676"/>
      <c r="AV14" s="2677"/>
      <c r="AW14" s="2682" t="s">
        <v>314</v>
      </c>
      <c r="AX14" s="2683"/>
      <c r="AY14" s="2688">
        <v>3</v>
      </c>
      <c r="AZ14" s="2682" t="s">
        <v>315</v>
      </c>
      <c r="BA14" s="2683"/>
      <c r="BB14" s="2691"/>
      <c r="BC14" s="2692"/>
      <c r="BD14" s="2692"/>
      <c r="BE14" s="2692"/>
      <c r="BF14" s="2692"/>
      <c r="BG14" s="2692"/>
      <c r="BH14" s="2692"/>
      <c r="BI14" s="2692"/>
      <c r="BJ14" s="2692"/>
      <c r="BK14" s="2692"/>
      <c r="BL14" s="2693"/>
      <c r="BM14" s="405" t="s">
        <v>2853</v>
      </c>
      <c r="BN14" s="365">
        <v>8</v>
      </c>
      <c r="BO14" s="365">
        <v>35</v>
      </c>
    </row>
    <row r="15" spans="1:67" ht="26.1" customHeight="1">
      <c r="A15" s="2670"/>
      <c r="B15" s="688"/>
      <c r="C15" s="689" t="s">
        <v>506</v>
      </c>
      <c r="D15" s="2673"/>
      <c r="E15" s="2673"/>
      <c r="F15" s="690" t="s">
        <v>507</v>
      </c>
      <c r="G15" s="2700"/>
      <c r="H15" s="2700"/>
      <c r="I15" s="2700"/>
      <c r="J15" s="2700"/>
      <c r="K15" s="2701"/>
      <c r="L15" s="2678"/>
      <c r="M15" s="2678"/>
      <c r="N15" s="2678"/>
      <c r="O15" s="2678"/>
      <c r="P15" s="2679"/>
      <c r="Q15" s="2684"/>
      <c r="R15" s="2685"/>
      <c r="S15" s="2689"/>
      <c r="T15" s="2684"/>
      <c r="U15" s="2685"/>
      <c r="V15" s="2694"/>
      <c r="W15" s="2695"/>
      <c r="X15" s="2695"/>
      <c r="Y15" s="2695"/>
      <c r="Z15" s="2695"/>
      <c r="AA15" s="2695"/>
      <c r="AB15" s="2695"/>
      <c r="AC15" s="2695"/>
      <c r="AD15" s="2695"/>
      <c r="AE15" s="2695"/>
      <c r="AF15" s="2696"/>
      <c r="AG15" s="2670"/>
      <c r="AH15" s="688">
        <v>10</v>
      </c>
      <c r="AI15" s="689" t="s">
        <v>506</v>
      </c>
      <c r="AJ15" s="2673">
        <v>12</v>
      </c>
      <c r="AK15" s="2673"/>
      <c r="AL15" s="690" t="s">
        <v>507</v>
      </c>
      <c r="AM15" s="2700" t="s">
        <v>2853</v>
      </c>
      <c r="AN15" s="2700"/>
      <c r="AO15" s="2700"/>
      <c r="AP15" s="2700"/>
      <c r="AQ15" s="2701"/>
      <c r="AR15" s="2678"/>
      <c r="AS15" s="2678"/>
      <c r="AT15" s="2678"/>
      <c r="AU15" s="2678"/>
      <c r="AV15" s="2679"/>
      <c r="AW15" s="2684"/>
      <c r="AX15" s="2685"/>
      <c r="AY15" s="2689"/>
      <c r="AZ15" s="2684"/>
      <c r="BA15" s="2685"/>
      <c r="BB15" s="2694"/>
      <c r="BC15" s="2695"/>
      <c r="BD15" s="2695"/>
      <c r="BE15" s="2695"/>
      <c r="BF15" s="2695"/>
      <c r="BG15" s="2695"/>
      <c r="BH15" s="2695"/>
      <c r="BI15" s="2695"/>
      <c r="BJ15" s="2695"/>
      <c r="BK15" s="2695"/>
      <c r="BL15" s="2696"/>
      <c r="BN15" s="365">
        <v>9</v>
      </c>
      <c r="BO15" s="365">
        <v>40</v>
      </c>
    </row>
    <row r="16" spans="1:67" s="365" customFormat="1" ht="15" customHeight="1">
      <c r="A16" s="2670"/>
      <c r="B16" s="2702" t="s">
        <v>2829</v>
      </c>
      <c r="C16" s="2703"/>
      <c r="D16" s="2703"/>
      <c r="E16" s="2703"/>
      <c r="F16" s="2704"/>
      <c r="G16" s="2659" t="s">
        <v>2830</v>
      </c>
      <c r="H16" s="2660"/>
      <c r="I16" s="2660"/>
      <c r="J16" s="2660"/>
      <c r="K16" s="2661"/>
      <c r="L16" s="2678"/>
      <c r="M16" s="2678"/>
      <c r="N16" s="2678"/>
      <c r="O16" s="2678"/>
      <c r="P16" s="2679"/>
      <c r="Q16" s="2684"/>
      <c r="R16" s="2685"/>
      <c r="S16" s="2689"/>
      <c r="T16" s="2684"/>
      <c r="U16" s="2685"/>
      <c r="V16" s="2694"/>
      <c r="W16" s="2695"/>
      <c r="X16" s="2695"/>
      <c r="Y16" s="2695"/>
      <c r="Z16" s="2695"/>
      <c r="AA16" s="2695"/>
      <c r="AB16" s="2695"/>
      <c r="AC16" s="2695"/>
      <c r="AD16" s="2695"/>
      <c r="AE16" s="2695"/>
      <c r="AF16" s="2696"/>
      <c r="AG16" s="2670"/>
      <c r="AH16" s="2702" t="s">
        <v>2829</v>
      </c>
      <c r="AI16" s="2703"/>
      <c r="AJ16" s="2703"/>
      <c r="AK16" s="2703"/>
      <c r="AL16" s="2704"/>
      <c r="AM16" s="2659" t="s">
        <v>2830</v>
      </c>
      <c r="AN16" s="2660"/>
      <c r="AO16" s="2660"/>
      <c r="AP16" s="2660"/>
      <c r="AQ16" s="2661"/>
      <c r="AR16" s="2678"/>
      <c r="AS16" s="2678"/>
      <c r="AT16" s="2678"/>
      <c r="AU16" s="2678"/>
      <c r="AV16" s="2679"/>
      <c r="AW16" s="2684"/>
      <c r="AX16" s="2685"/>
      <c r="AY16" s="2689"/>
      <c r="AZ16" s="2684"/>
      <c r="BA16" s="2685"/>
      <c r="BB16" s="2694"/>
      <c r="BC16" s="2695"/>
      <c r="BD16" s="2695"/>
      <c r="BE16" s="2695"/>
      <c r="BF16" s="2695"/>
      <c r="BG16" s="2695"/>
      <c r="BH16" s="2695"/>
      <c r="BI16" s="2695"/>
      <c r="BJ16" s="2695"/>
      <c r="BK16" s="2695"/>
      <c r="BL16" s="2696"/>
      <c r="BN16" s="365">
        <v>10</v>
      </c>
      <c r="BO16" s="365">
        <v>45</v>
      </c>
    </row>
    <row r="17" spans="1:67" ht="26.1" customHeight="1" thickBot="1">
      <c r="A17" s="2671"/>
      <c r="B17" s="691"/>
      <c r="C17" s="2664" t="s">
        <v>509</v>
      </c>
      <c r="D17" s="2664"/>
      <c r="E17" s="2662"/>
      <c r="F17" s="2662"/>
      <c r="G17" s="692"/>
      <c r="H17" s="2664" t="s">
        <v>509</v>
      </c>
      <c r="I17" s="2664"/>
      <c r="J17" s="2662"/>
      <c r="K17" s="2663"/>
      <c r="L17" s="2680"/>
      <c r="M17" s="2680"/>
      <c r="N17" s="2680"/>
      <c r="O17" s="2680"/>
      <c r="P17" s="2681"/>
      <c r="Q17" s="2686"/>
      <c r="R17" s="2687"/>
      <c r="S17" s="2690"/>
      <c r="T17" s="2686"/>
      <c r="U17" s="2687"/>
      <c r="V17" s="2697"/>
      <c r="W17" s="2698"/>
      <c r="X17" s="2698"/>
      <c r="Y17" s="2698"/>
      <c r="Z17" s="2698"/>
      <c r="AA17" s="2698"/>
      <c r="AB17" s="2698"/>
      <c r="AC17" s="2698"/>
      <c r="AD17" s="2698"/>
      <c r="AE17" s="2698"/>
      <c r="AF17" s="2699"/>
      <c r="AG17" s="2671"/>
      <c r="AH17" s="691">
        <v>9</v>
      </c>
      <c r="AI17" s="2664" t="s">
        <v>509</v>
      </c>
      <c r="AJ17" s="2664"/>
      <c r="AK17" s="2662">
        <v>45</v>
      </c>
      <c r="AL17" s="2662"/>
      <c r="AM17" s="692">
        <v>10</v>
      </c>
      <c r="AN17" s="2664" t="s">
        <v>509</v>
      </c>
      <c r="AO17" s="2664"/>
      <c r="AP17" s="2662">
        <v>15</v>
      </c>
      <c r="AQ17" s="2663"/>
      <c r="AR17" s="2680"/>
      <c r="AS17" s="2680"/>
      <c r="AT17" s="2680"/>
      <c r="AU17" s="2680"/>
      <c r="AV17" s="2681"/>
      <c r="AW17" s="2686"/>
      <c r="AX17" s="2687"/>
      <c r="AY17" s="2690"/>
      <c r="AZ17" s="2686"/>
      <c r="BA17" s="2687"/>
      <c r="BB17" s="2697"/>
      <c r="BC17" s="2698"/>
      <c r="BD17" s="2698"/>
      <c r="BE17" s="2698"/>
      <c r="BF17" s="2698"/>
      <c r="BG17" s="2698"/>
      <c r="BH17" s="2698"/>
      <c r="BI17" s="2698"/>
      <c r="BJ17" s="2698"/>
      <c r="BK17" s="2698"/>
      <c r="BL17" s="2699"/>
      <c r="BN17" s="365">
        <v>11</v>
      </c>
      <c r="BO17" s="365">
        <v>50</v>
      </c>
    </row>
    <row r="18" spans="1:67" ht="15" customHeight="1">
      <c r="A18" s="2669" t="s">
        <v>2833</v>
      </c>
      <c r="B18" s="2674" t="s">
        <v>2827</v>
      </c>
      <c r="C18" s="2665"/>
      <c r="D18" s="2665"/>
      <c r="E18" s="2665"/>
      <c r="F18" s="2675"/>
      <c r="G18" s="2665" t="s">
        <v>2828</v>
      </c>
      <c r="H18" s="2665"/>
      <c r="I18" s="2665"/>
      <c r="J18" s="2665"/>
      <c r="K18" s="2666"/>
      <c r="L18" s="2676"/>
      <c r="M18" s="2676"/>
      <c r="N18" s="2676"/>
      <c r="O18" s="2676"/>
      <c r="P18" s="2677"/>
      <c r="Q18" s="2682"/>
      <c r="R18" s="2683"/>
      <c r="S18" s="2688"/>
      <c r="T18" s="2682"/>
      <c r="U18" s="2683"/>
      <c r="V18" s="2691"/>
      <c r="W18" s="2692"/>
      <c r="X18" s="2692"/>
      <c r="Y18" s="2692"/>
      <c r="Z18" s="2692"/>
      <c r="AA18" s="2692"/>
      <c r="AB18" s="2692"/>
      <c r="AC18" s="2692"/>
      <c r="AD18" s="2692"/>
      <c r="AE18" s="2692"/>
      <c r="AF18" s="2693"/>
      <c r="AG18" s="2669" t="s">
        <v>2833</v>
      </c>
      <c r="AH18" s="2674" t="s">
        <v>2827</v>
      </c>
      <c r="AI18" s="2665"/>
      <c r="AJ18" s="2665"/>
      <c r="AK18" s="2665"/>
      <c r="AL18" s="2675"/>
      <c r="AM18" s="2665" t="s">
        <v>2828</v>
      </c>
      <c r="AN18" s="2665"/>
      <c r="AO18" s="2665"/>
      <c r="AP18" s="2665"/>
      <c r="AQ18" s="2666"/>
      <c r="AR18" s="2676" t="s">
        <v>2858</v>
      </c>
      <c r="AS18" s="2676"/>
      <c r="AT18" s="2676"/>
      <c r="AU18" s="2676"/>
      <c r="AV18" s="2677"/>
      <c r="AW18" s="2682" t="s">
        <v>316</v>
      </c>
      <c r="AX18" s="2683"/>
      <c r="AY18" s="2688">
        <v>1</v>
      </c>
      <c r="AZ18" s="2682" t="s">
        <v>317</v>
      </c>
      <c r="BA18" s="2683"/>
      <c r="BB18" s="2691"/>
      <c r="BC18" s="2692"/>
      <c r="BD18" s="2692"/>
      <c r="BE18" s="2692"/>
      <c r="BF18" s="2692"/>
      <c r="BG18" s="2692"/>
      <c r="BH18" s="2692"/>
      <c r="BI18" s="2692"/>
      <c r="BJ18" s="2692"/>
      <c r="BK18" s="2692"/>
      <c r="BL18" s="2693"/>
      <c r="BN18" s="365">
        <v>12</v>
      </c>
      <c r="BO18" s="365">
        <v>55</v>
      </c>
    </row>
    <row r="19" spans="1:67" ht="26.1" customHeight="1">
      <c r="A19" s="2670"/>
      <c r="B19" s="688"/>
      <c r="C19" s="689" t="s">
        <v>506</v>
      </c>
      <c r="D19" s="2673"/>
      <c r="E19" s="2673"/>
      <c r="F19" s="690" t="s">
        <v>507</v>
      </c>
      <c r="G19" s="2700"/>
      <c r="H19" s="2700"/>
      <c r="I19" s="2700"/>
      <c r="J19" s="2700"/>
      <c r="K19" s="2701"/>
      <c r="L19" s="2678"/>
      <c r="M19" s="2678"/>
      <c r="N19" s="2678"/>
      <c r="O19" s="2678"/>
      <c r="P19" s="2679"/>
      <c r="Q19" s="2684"/>
      <c r="R19" s="2685"/>
      <c r="S19" s="2689"/>
      <c r="T19" s="2684"/>
      <c r="U19" s="2685"/>
      <c r="V19" s="2694"/>
      <c r="W19" s="2695"/>
      <c r="X19" s="2695"/>
      <c r="Y19" s="2695"/>
      <c r="Z19" s="2695"/>
      <c r="AA19" s="2695"/>
      <c r="AB19" s="2695"/>
      <c r="AC19" s="2695"/>
      <c r="AD19" s="2695"/>
      <c r="AE19" s="2695"/>
      <c r="AF19" s="2696"/>
      <c r="AG19" s="2670"/>
      <c r="AH19" s="688">
        <v>10</v>
      </c>
      <c r="AI19" s="689" t="s">
        <v>506</v>
      </c>
      <c r="AJ19" s="2673">
        <v>12</v>
      </c>
      <c r="AK19" s="2673"/>
      <c r="AL19" s="690" t="s">
        <v>507</v>
      </c>
      <c r="AM19" s="2700" t="s">
        <v>2826</v>
      </c>
      <c r="AN19" s="2700"/>
      <c r="AO19" s="2700"/>
      <c r="AP19" s="2700"/>
      <c r="AQ19" s="2701"/>
      <c r="AR19" s="2678"/>
      <c r="AS19" s="2678"/>
      <c r="AT19" s="2678"/>
      <c r="AU19" s="2678"/>
      <c r="AV19" s="2679"/>
      <c r="AW19" s="2684"/>
      <c r="AX19" s="2685"/>
      <c r="AY19" s="2689"/>
      <c r="AZ19" s="2684"/>
      <c r="BA19" s="2685"/>
      <c r="BB19" s="2694"/>
      <c r="BC19" s="2695"/>
      <c r="BD19" s="2695"/>
      <c r="BE19" s="2695"/>
      <c r="BF19" s="2695"/>
      <c r="BG19" s="2695"/>
      <c r="BH19" s="2695"/>
      <c r="BI19" s="2695"/>
      <c r="BJ19" s="2695"/>
      <c r="BK19" s="2695"/>
      <c r="BL19" s="2696"/>
      <c r="BN19" s="365">
        <v>13</v>
      </c>
    </row>
    <row r="20" spans="1:67" ht="15" customHeight="1">
      <c r="A20" s="2670"/>
      <c r="B20" s="2702" t="s">
        <v>2829</v>
      </c>
      <c r="C20" s="2703"/>
      <c r="D20" s="2703"/>
      <c r="E20" s="2703"/>
      <c r="F20" s="2704"/>
      <c r="G20" s="2659" t="s">
        <v>2830</v>
      </c>
      <c r="H20" s="2660"/>
      <c r="I20" s="2660"/>
      <c r="J20" s="2660"/>
      <c r="K20" s="2661"/>
      <c r="L20" s="2678"/>
      <c r="M20" s="2678"/>
      <c r="N20" s="2678"/>
      <c r="O20" s="2678"/>
      <c r="P20" s="2679"/>
      <c r="Q20" s="2684"/>
      <c r="R20" s="2685"/>
      <c r="S20" s="2689"/>
      <c r="T20" s="2684"/>
      <c r="U20" s="2685"/>
      <c r="V20" s="2694"/>
      <c r="W20" s="2695"/>
      <c r="X20" s="2695"/>
      <c r="Y20" s="2695"/>
      <c r="Z20" s="2695"/>
      <c r="AA20" s="2695"/>
      <c r="AB20" s="2695"/>
      <c r="AC20" s="2695"/>
      <c r="AD20" s="2695"/>
      <c r="AE20" s="2695"/>
      <c r="AF20" s="2696"/>
      <c r="AG20" s="2670"/>
      <c r="AH20" s="2702" t="s">
        <v>2829</v>
      </c>
      <c r="AI20" s="2703"/>
      <c r="AJ20" s="2703"/>
      <c r="AK20" s="2703"/>
      <c r="AL20" s="2704"/>
      <c r="AM20" s="2659" t="s">
        <v>2830</v>
      </c>
      <c r="AN20" s="2660"/>
      <c r="AO20" s="2660"/>
      <c r="AP20" s="2660"/>
      <c r="AQ20" s="2661"/>
      <c r="AR20" s="2678"/>
      <c r="AS20" s="2678"/>
      <c r="AT20" s="2678"/>
      <c r="AU20" s="2678"/>
      <c r="AV20" s="2679"/>
      <c r="AW20" s="2684"/>
      <c r="AX20" s="2685"/>
      <c r="AY20" s="2689"/>
      <c r="AZ20" s="2684"/>
      <c r="BA20" s="2685"/>
      <c r="BB20" s="2694"/>
      <c r="BC20" s="2695"/>
      <c r="BD20" s="2695"/>
      <c r="BE20" s="2695"/>
      <c r="BF20" s="2695"/>
      <c r="BG20" s="2695"/>
      <c r="BH20" s="2695"/>
      <c r="BI20" s="2695"/>
      <c r="BJ20" s="2695"/>
      <c r="BK20" s="2695"/>
      <c r="BL20" s="2696"/>
      <c r="BN20" s="365">
        <v>14</v>
      </c>
    </row>
    <row r="21" spans="1:67" ht="26.1" customHeight="1" thickBot="1">
      <c r="A21" s="2671"/>
      <c r="B21" s="691"/>
      <c r="C21" s="2664" t="s">
        <v>509</v>
      </c>
      <c r="D21" s="2664"/>
      <c r="E21" s="2662"/>
      <c r="F21" s="2662"/>
      <c r="G21" s="692"/>
      <c r="H21" s="2664" t="s">
        <v>509</v>
      </c>
      <c r="I21" s="2664"/>
      <c r="J21" s="2662"/>
      <c r="K21" s="2663"/>
      <c r="L21" s="2680"/>
      <c r="M21" s="2680"/>
      <c r="N21" s="2680"/>
      <c r="O21" s="2680"/>
      <c r="P21" s="2681"/>
      <c r="Q21" s="2686"/>
      <c r="R21" s="2687"/>
      <c r="S21" s="2690"/>
      <c r="T21" s="2686"/>
      <c r="U21" s="2687"/>
      <c r="V21" s="2697"/>
      <c r="W21" s="2698"/>
      <c r="X21" s="2698"/>
      <c r="Y21" s="2698"/>
      <c r="Z21" s="2698"/>
      <c r="AA21" s="2698"/>
      <c r="AB21" s="2698"/>
      <c r="AC21" s="2698"/>
      <c r="AD21" s="2698"/>
      <c r="AE21" s="2698"/>
      <c r="AF21" s="2699"/>
      <c r="AG21" s="2671"/>
      <c r="AH21" s="691">
        <v>9</v>
      </c>
      <c r="AI21" s="2664" t="s">
        <v>509</v>
      </c>
      <c r="AJ21" s="2664"/>
      <c r="AK21" s="2662">
        <v>45</v>
      </c>
      <c r="AL21" s="2662"/>
      <c r="AM21" s="692"/>
      <c r="AN21" s="2664" t="s">
        <v>509</v>
      </c>
      <c r="AO21" s="2664"/>
      <c r="AP21" s="2662"/>
      <c r="AQ21" s="2663"/>
      <c r="AR21" s="2680"/>
      <c r="AS21" s="2680"/>
      <c r="AT21" s="2680"/>
      <c r="AU21" s="2680"/>
      <c r="AV21" s="2681"/>
      <c r="AW21" s="2686"/>
      <c r="AX21" s="2687"/>
      <c r="AY21" s="2690"/>
      <c r="AZ21" s="2686"/>
      <c r="BA21" s="2687"/>
      <c r="BB21" s="2697"/>
      <c r="BC21" s="2698"/>
      <c r="BD21" s="2698"/>
      <c r="BE21" s="2698"/>
      <c r="BF21" s="2698"/>
      <c r="BG21" s="2698"/>
      <c r="BH21" s="2698"/>
      <c r="BI21" s="2698"/>
      <c r="BJ21" s="2698"/>
      <c r="BK21" s="2698"/>
      <c r="BL21" s="2699"/>
      <c r="BN21" s="365">
        <v>15</v>
      </c>
    </row>
    <row r="22" spans="1:67" ht="15" customHeight="1">
      <c r="A22" s="2669" t="s">
        <v>2834</v>
      </c>
      <c r="B22" s="2674" t="s">
        <v>2827</v>
      </c>
      <c r="C22" s="2665"/>
      <c r="D22" s="2665"/>
      <c r="E22" s="2665"/>
      <c r="F22" s="2675"/>
      <c r="G22" s="2665" t="s">
        <v>2828</v>
      </c>
      <c r="H22" s="2665"/>
      <c r="I22" s="2665"/>
      <c r="J22" s="2665"/>
      <c r="K22" s="2666"/>
      <c r="L22" s="2676"/>
      <c r="M22" s="2676"/>
      <c r="N22" s="2676"/>
      <c r="O22" s="2676"/>
      <c r="P22" s="2677"/>
      <c r="Q22" s="2682"/>
      <c r="R22" s="2683"/>
      <c r="S22" s="2688"/>
      <c r="T22" s="2682"/>
      <c r="U22" s="2683"/>
      <c r="V22" s="2691"/>
      <c r="W22" s="2692"/>
      <c r="X22" s="2692"/>
      <c r="Y22" s="2692"/>
      <c r="Z22" s="2692"/>
      <c r="AA22" s="2692"/>
      <c r="AB22" s="2692"/>
      <c r="AC22" s="2692"/>
      <c r="AD22" s="2692"/>
      <c r="AE22" s="2692"/>
      <c r="AF22" s="2693"/>
      <c r="AG22" s="2669" t="s">
        <v>2834</v>
      </c>
      <c r="AH22" s="2674" t="s">
        <v>2827</v>
      </c>
      <c r="AI22" s="2665"/>
      <c r="AJ22" s="2665"/>
      <c r="AK22" s="2665"/>
      <c r="AL22" s="2675"/>
      <c r="AM22" s="2665" t="s">
        <v>2828</v>
      </c>
      <c r="AN22" s="2665"/>
      <c r="AO22" s="2665"/>
      <c r="AP22" s="2665"/>
      <c r="AQ22" s="2666"/>
      <c r="AR22" s="2676" t="s">
        <v>2859</v>
      </c>
      <c r="AS22" s="2676"/>
      <c r="AT22" s="2676"/>
      <c r="AU22" s="2676"/>
      <c r="AV22" s="2677"/>
      <c r="AW22" s="2682" t="s">
        <v>316</v>
      </c>
      <c r="AX22" s="2683"/>
      <c r="AY22" s="2688">
        <v>1</v>
      </c>
      <c r="AZ22" s="2682" t="s">
        <v>315</v>
      </c>
      <c r="BA22" s="2683"/>
      <c r="BB22" s="2691"/>
      <c r="BC22" s="2692"/>
      <c r="BD22" s="2692"/>
      <c r="BE22" s="2692"/>
      <c r="BF22" s="2692"/>
      <c r="BG22" s="2692"/>
      <c r="BH22" s="2692"/>
      <c r="BI22" s="2692"/>
      <c r="BJ22" s="2692"/>
      <c r="BK22" s="2692"/>
      <c r="BL22" s="2693"/>
      <c r="BN22" s="365">
        <v>16</v>
      </c>
    </row>
    <row r="23" spans="1:67" ht="26.1" customHeight="1">
      <c r="A23" s="2670"/>
      <c r="B23" s="688"/>
      <c r="C23" s="689" t="s">
        <v>506</v>
      </c>
      <c r="D23" s="2673"/>
      <c r="E23" s="2673"/>
      <c r="F23" s="690" t="s">
        <v>507</v>
      </c>
      <c r="G23" s="2700"/>
      <c r="H23" s="2700"/>
      <c r="I23" s="2700"/>
      <c r="J23" s="2700"/>
      <c r="K23" s="2701"/>
      <c r="L23" s="2678"/>
      <c r="M23" s="2678"/>
      <c r="N23" s="2678"/>
      <c r="O23" s="2678"/>
      <c r="P23" s="2679"/>
      <c r="Q23" s="2684"/>
      <c r="R23" s="2685"/>
      <c r="S23" s="2689"/>
      <c r="T23" s="2684"/>
      <c r="U23" s="2685"/>
      <c r="V23" s="2694"/>
      <c r="W23" s="2695"/>
      <c r="X23" s="2695"/>
      <c r="Y23" s="2695"/>
      <c r="Z23" s="2695"/>
      <c r="AA23" s="2695"/>
      <c r="AB23" s="2695"/>
      <c r="AC23" s="2695"/>
      <c r="AD23" s="2695"/>
      <c r="AE23" s="2695"/>
      <c r="AF23" s="2696"/>
      <c r="AG23" s="2670"/>
      <c r="AH23" s="688">
        <v>10</v>
      </c>
      <c r="AI23" s="689" t="s">
        <v>506</v>
      </c>
      <c r="AJ23" s="2673">
        <v>12</v>
      </c>
      <c r="AK23" s="2673"/>
      <c r="AL23" s="690" t="s">
        <v>507</v>
      </c>
      <c r="AM23" s="2700" t="s">
        <v>318</v>
      </c>
      <c r="AN23" s="2700"/>
      <c r="AO23" s="2700"/>
      <c r="AP23" s="2700"/>
      <c r="AQ23" s="2701"/>
      <c r="AR23" s="2678"/>
      <c r="AS23" s="2678"/>
      <c r="AT23" s="2678"/>
      <c r="AU23" s="2678"/>
      <c r="AV23" s="2679"/>
      <c r="AW23" s="2684"/>
      <c r="AX23" s="2685"/>
      <c r="AY23" s="2689"/>
      <c r="AZ23" s="2684"/>
      <c r="BA23" s="2685"/>
      <c r="BB23" s="2694"/>
      <c r="BC23" s="2695"/>
      <c r="BD23" s="2695"/>
      <c r="BE23" s="2695"/>
      <c r="BF23" s="2695"/>
      <c r="BG23" s="2695"/>
      <c r="BH23" s="2695"/>
      <c r="BI23" s="2695"/>
      <c r="BJ23" s="2695"/>
      <c r="BK23" s="2695"/>
      <c r="BL23" s="2696"/>
      <c r="BN23" s="365">
        <v>17</v>
      </c>
    </row>
    <row r="24" spans="1:67" ht="15" customHeight="1">
      <c r="A24" s="2670"/>
      <c r="B24" s="2702" t="s">
        <v>2829</v>
      </c>
      <c r="C24" s="2703"/>
      <c r="D24" s="2703"/>
      <c r="E24" s="2703"/>
      <c r="F24" s="2704"/>
      <c r="G24" s="2659" t="s">
        <v>2830</v>
      </c>
      <c r="H24" s="2660"/>
      <c r="I24" s="2660"/>
      <c r="J24" s="2660"/>
      <c r="K24" s="2661"/>
      <c r="L24" s="2678"/>
      <c r="M24" s="2678"/>
      <c r="N24" s="2678"/>
      <c r="O24" s="2678"/>
      <c r="P24" s="2679"/>
      <c r="Q24" s="2684"/>
      <c r="R24" s="2685"/>
      <c r="S24" s="2689"/>
      <c r="T24" s="2684"/>
      <c r="U24" s="2685"/>
      <c r="V24" s="2694"/>
      <c r="W24" s="2695"/>
      <c r="X24" s="2695"/>
      <c r="Y24" s="2695"/>
      <c r="Z24" s="2695"/>
      <c r="AA24" s="2695"/>
      <c r="AB24" s="2695"/>
      <c r="AC24" s="2695"/>
      <c r="AD24" s="2695"/>
      <c r="AE24" s="2695"/>
      <c r="AF24" s="2696"/>
      <c r="AG24" s="2670"/>
      <c r="AH24" s="2702" t="s">
        <v>2829</v>
      </c>
      <c r="AI24" s="2703"/>
      <c r="AJ24" s="2703"/>
      <c r="AK24" s="2703"/>
      <c r="AL24" s="2704"/>
      <c r="AM24" s="2659" t="s">
        <v>2830</v>
      </c>
      <c r="AN24" s="2660"/>
      <c r="AO24" s="2660"/>
      <c r="AP24" s="2660"/>
      <c r="AQ24" s="2661"/>
      <c r="AR24" s="2678"/>
      <c r="AS24" s="2678"/>
      <c r="AT24" s="2678"/>
      <c r="AU24" s="2678"/>
      <c r="AV24" s="2679"/>
      <c r="AW24" s="2684"/>
      <c r="AX24" s="2685"/>
      <c r="AY24" s="2689"/>
      <c r="AZ24" s="2684"/>
      <c r="BA24" s="2685"/>
      <c r="BB24" s="2694"/>
      <c r="BC24" s="2695"/>
      <c r="BD24" s="2695"/>
      <c r="BE24" s="2695"/>
      <c r="BF24" s="2695"/>
      <c r="BG24" s="2695"/>
      <c r="BH24" s="2695"/>
      <c r="BI24" s="2695"/>
      <c r="BJ24" s="2695"/>
      <c r="BK24" s="2695"/>
      <c r="BL24" s="2696"/>
      <c r="BN24" s="365">
        <v>18</v>
      </c>
    </row>
    <row r="25" spans="1:67" ht="26.1" customHeight="1" thickBot="1">
      <c r="A25" s="2671"/>
      <c r="B25" s="691"/>
      <c r="C25" s="2664" t="s">
        <v>509</v>
      </c>
      <c r="D25" s="2664"/>
      <c r="E25" s="2662"/>
      <c r="F25" s="2662"/>
      <c r="G25" s="692"/>
      <c r="H25" s="2664" t="s">
        <v>509</v>
      </c>
      <c r="I25" s="2664"/>
      <c r="J25" s="2662"/>
      <c r="K25" s="2663"/>
      <c r="L25" s="2680"/>
      <c r="M25" s="2680"/>
      <c r="N25" s="2680"/>
      <c r="O25" s="2680"/>
      <c r="P25" s="2681"/>
      <c r="Q25" s="2686"/>
      <c r="R25" s="2687"/>
      <c r="S25" s="2690"/>
      <c r="T25" s="2686"/>
      <c r="U25" s="2687"/>
      <c r="V25" s="2697"/>
      <c r="W25" s="2698"/>
      <c r="X25" s="2698"/>
      <c r="Y25" s="2698"/>
      <c r="Z25" s="2698"/>
      <c r="AA25" s="2698"/>
      <c r="AB25" s="2698"/>
      <c r="AC25" s="2698"/>
      <c r="AD25" s="2698"/>
      <c r="AE25" s="2698"/>
      <c r="AF25" s="2699"/>
      <c r="AG25" s="2671"/>
      <c r="AH25" s="691">
        <v>9</v>
      </c>
      <c r="AI25" s="2664" t="s">
        <v>509</v>
      </c>
      <c r="AJ25" s="2664"/>
      <c r="AK25" s="2662">
        <v>45</v>
      </c>
      <c r="AL25" s="2662"/>
      <c r="AM25" s="692">
        <v>21</v>
      </c>
      <c r="AN25" s="2664" t="s">
        <v>509</v>
      </c>
      <c r="AO25" s="2664"/>
      <c r="AP25" s="2662">
        <v>30</v>
      </c>
      <c r="AQ25" s="2663"/>
      <c r="AR25" s="2680"/>
      <c r="AS25" s="2680"/>
      <c r="AT25" s="2680"/>
      <c r="AU25" s="2680"/>
      <c r="AV25" s="2681"/>
      <c r="AW25" s="2686"/>
      <c r="AX25" s="2687"/>
      <c r="AY25" s="2690"/>
      <c r="AZ25" s="2686"/>
      <c r="BA25" s="2687"/>
      <c r="BB25" s="2697"/>
      <c r="BC25" s="2698"/>
      <c r="BD25" s="2698"/>
      <c r="BE25" s="2698"/>
      <c r="BF25" s="2698"/>
      <c r="BG25" s="2698"/>
      <c r="BH25" s="2698"/>
      <c r="BI25" s="2698"/>
      <c r="BJ25" s="2698"/>
      <c r="BK25" s="2698"/>
      <c r="BL25" s="2699"/>
      <c r="BN25" s="365">
        <v>19</v>
      </c>
    </row>
    <row r="26" spans="1:67" s="365" customFormat="1" ht="15" customHeight="1">
      <c r="A26" s="2669" t="s">
        <v>2835</v>
      </c>
      <c r="B26" s="2674" t="s">
        <v>2827</v>
      </c>
      <c r="C26" s="2665"/>
      <c r="D26" s="2665"/>
      <c r="E26" s="2665"/>
      <c r="F26" s="2675"/>
      <c r="G26" s="2665" t="s">
        <v>2828</v>
      </c>
      <c r="H26" s="2665"/>
      <c r="I26" s="2665"/>
      <c r="J26" s="2665"/>
      <c r="K26" s="2666"/>
      <c r="L26" s="2676"/>
      <c r="M26" s="2676"/>
      <c r="N26" s="2676"/>
      <c r="O26" s="2676"/>
      <c r="P26" s="2677"/>
      <c r="Q26" s="2682"/>
      <c r="R26" s="2683"/>
      <c r="S26" s="2688"/>
      <c r="T26" s="2682"/>
      <c r="U26" s="2683"/>
      <c r="V26" s="2691"/>
      <c r="W26" s="2692"/>
      <c r="X26" s="2692"/>
      <c r="Y26" s="2692"/>
      <c r="Z26" s="2692"/>
      <c r="AA26" s="2692"/>
      <c r="AB26" s="2692"/>
      <c r="AC26" s="2692"/>
      <c r="AD26" s="2692"/>
      <c r="AE26" s="2692"/>
      <c r="AF26" s="2693"/>
      <c r="AG26" s="2669" t="s">
        <v>2835</v>
      </c>
      <c r="AH26" s="2674" t="s">
        <v>2827</v>
      </c>
      <c r="AI26" s="2665"/>
      <c r="AJ26" s="2665"/>
      <c r="AK26" s="2665"/>
      <c r="AL26" s="2675"/>
      <c r="AM26" s="2665" t="s">
        <v>2828</v>
      </c>
      <c r="AN26" s="2665"/>
      <c r="AO26" s="2665"/>
      <c r="AP26" s="2665"/>
      <c r="AQ26" s="2666"/>
      <c r="AR26" s="2676" t="s">
        <v>2860</v>
      </c>
      <c r="AS26" s="2676"/>
      <c r="AT26" s="2676"/>
      <c r="AU26" s="2676"/>
      <c r="AV26" s="2677"/>
      <c r="AW26" s="2682" t="s">
        <v>316</v>
      </c>
      <c r="AX26" s="2683"/>
      <c r="AY26" s="2688">
        <v>1</v>
      </c>
      <c r="AZ26" s="2682" t="s">
        <v>317</v>
      </c>
      <c r="BA26" s="2683"/>
      <c r="BB26" s="2691"/>
      <c r="BC26" s="2692"/>
      <c r="BD26" s="2692"/>
      <c r="BE26" s="2692"/>
      <c r="BF26" s="2692"/>
      <c r="BG26" s="2692"/>
      <c r="BH26" s="2692"/>
      <c r="BI26" s="2692"/>
      <c r="BJ26" s="2692"/>
      <c r="BK26" s="2692"/>
      <c r="BL26" s="2693"/>
      <c r="BN26" s="365">
        <v>20</v>
      </c>
    </row>
    <row r="27" spans="1:67" s="365" customFormat="1" ht="26.1" customHeight="1">
      <c r="A27" s="2670"/>
      <c r="B27" s="688"/>
      <c r="C27" s="689" t="s">
        <v>506</v>
      </c>
      <c r="D27" s="2673"/>
      <c r="E27" s="2673"/>
      <c r="F27" s="690" t="s">
        <v>507</v>
      </c>
      <c r="G27" s="2700"/>
      <c r="H27" s="2700"/>
      <c r="I27" s="2700"/>
      <c r="J27" s="2700"/>
      <c r="K27" s="2701"/>
      <c r="L27" s="2678"/>
      <c r="M27" s="2678"/>
      <c r="N27" s="2678"/>
      <c r="O27" s="2678"/>
      <c r="P27" s="2679"/>
      <c r="Q27" s="2684"/>
      <c r="R27" s="2685"/>
      <c r="S27" s="2689"/>
      <c r="T27" s="2684"/>
      <c r="U27" s="2685"/>
      <c r="V27" s="2694"/>
      <c r="W27" s="2695"/>
      <c r="X27" s="2695"/>
      <c r="Y27" s="2695"/>
      <c r="Z27" s="2695"/>
      <c r="AA27" s="2695"/>
      <c r="AB27" s="2695"/>
      <c r="AC27" s="2695"/>
      <c r="AD27" s="2695"/>
      <c r="AE27" s="2695"/>
      <c r="AF27" s="2696"/>
      <c r="AG27" s="2670"/>
      <c r="AH27" s="688">
        <v>10</v>
      </c>
      <c r="AI27" s="689" t="s">
        <v>506</v>
      </c>
      <c r="AJ27" s="2673">
        <v>12</v>
      </c>
      <c r="AK27" s="2673"/>
      <c r="AL27" s="690" t="s">
        <v>507</v>
      </c>
      <c r="AM27" s="2700" t="s">
        <v>318</v>
      </c>
      <c r="AN27" s="2700"/>
      <c r="AO27" s="2700"/>
      <c r="AP27" s="2700"/>
      <c r="AQ27" s="2701"/>
      <c r="AR27" s="2678"/>
      <c r="AS27" s="2678"/>
      <c r="AT27" s="2678"/>
      <c r="AU27" s="2678"/>
      <c r="AV27" s="2679"/>
      <c r="AW27" s="2684"/>
      <c r="AX27" s="2685"/>
      <c r="AY27" s="2689"/>
      <c r="AZ27" s="2684"/>
      <c r="BA27" s="2685"/>
      <c r="BB27" s="2694"/>
      <c r="BC27" s="2695"/>
      <c r="BD27" s="2695"/>
      <c r="BE27" s="2695"/>
      <c r="BF27" s="2695"/>
      <c r="BG27" s="2695"/>
      <c r="BH27" s="2695"/>
      <c r="BI27" s="2695"/>
      <c r="BJ27" s="2695"/>
      <c r="BK27" s="2695"/>
      <c r="BL27" s="2696"/>
      <c r="BN27" s="365">
        <v>21</v>
      </c>
    </row>
    <row r="28" spans="1:67" s="365" customFormat="1" ht="15" customHeight="1">
      <c r="A28" s="2670"/>
      <c r="B28" s="2702" t="s">
        <v>2829</v>
      </c>
      <c r="C28" s="2703"/>
      <c r="D28" s="2703"/>
      <c r="E28" s="2703"/>
      <c r="F28" s="2704"/>
      <c r="G28" s="2659" t="s">
        <v>2830</v>
      </c>
      <c r="H28" s="2660"/>
      <c r="I28" s="2660"/>
      <c r="J28" s="2660"/>
      <c r="K28" s="2661"/>
      <c r="L28" s="2678"/>
      <c r="M28" s="2678"/>
      <c r="N28" s="2678"/>
      <c r="O28" s="2678"/>
      <c r="P28" s="2679"/>
      <c r="Q28" s="2684"/>
      <c r="R28" s="2685"/>
      <c r="S28" s="2689"/>
      <c r="T28" s="2684"/>
      <c r="U28" s="2685"/>
      <c r="V28" s="2694"/>
      <c r="W28" s="2695"/>
      <c r="X28" s="2695"/>
      <c r="Y28" s="2695"/>
      <c r="Z28" s="2695"/>
      <c r="AA28" s="2695"/>
      <c r="AB28" s="2695"/>
      <c r="AC28" s="2695"/>
      <c r="AD28" s="2695"/>
      <c r="AE28" s="2695"/>
      <c r="AF28" s="2696"/>
      <c r="AG28" s="2670"/>
      <c r="AH28" s="2702" t="s">
        <v>2829</v>
      </c>
      <c r="AI28" s="2703"/>
      <c r="AJ28" s="2703"/>
      <c r="AK28" s="2703"/>
      <c r="AL28" s="2704"/>
      <c r="AM28" s="2659" t="s">
        <v>2830</v>
      </c>
      <c r="AN28" s="2660"/>
      <c r="AO28" s="2660"/>
      <c r="AP28" s="2660"/>
      <c r="AQ28" s="2661"/>
      <c r="AR28" s="2678"/>
      <c r="AS28" s="2678"/>
      <c r="AT28" s="2678"/>
      <c r="AU28" s="2678"/>
      <c r="AV28" s="2679"/>
      <c r="AW28" s="2684"/>
      <c r="AX28" s="2685"/>
      <c r="AY28" s="2689"/>
      <c r="AZ28" s="2684"/>
      <c r="BA28" s="2685"/>
      <c r="BB28" s="2694"/>
      <c r="BC28" s="2695"/>
      <c r="BD28" s="2695"/>
      <c r="BE28" s="2695"/>
      <c r="BF28" s="2695"/>
      <c r="BG28" s="2695"/>
      <c r="BH28" s="2695"/>
      <c r="BI28" s="2695"/>
      <c r="BJ28" s="2695"/>
      <c r="BK28" s="2695"/>
      <c r="BL28" s="2696"/>
      <c r="BN28" s="365">
        <v>22</v>
      </c>
    </row>
    <row r="29" spans="1:67" s="365" customFormat="1" ht="26.1" customHeight="1" thickBot="1">
      <c r="A29" s="2671"/>
      <c r="B29" s="691"/>
      <c r="C29" s="2664" t="s">
        <v>509</v>
      </c>
      <c r="D29" s="2664"/>
      <c r="E29" s="2662"/>
      <c r="F29" s="2662"/>
      <c r="G29" s="692"/>
      <c r="H29" s="2664" t="s">
        <v>509</v>
      </c>
      <c r="I29" s="2664"/>
      <c r="J29" s="2662"/>
      <c r="K29" s="2663"/>
      <c r="L29" s="2680"/>
      <c r="M29" s="2680"/>
      <c r="N29" s="2680"/>
      <c r="O29" s="2680"/>
      <c r="P29" s="2681"/>
      <c r="Q29" s="2686"/>
      <c r="R29" s="2687"/>
      <c r="S29" s="2690"/>
      <c r="T29" s="2686"/>
      <c r="U29" s="2687"/>
      <c r="V29" s="2697"/>
      <c r="W29" s="2698"/>
      <c r="X29" s="2698"/>
      <c r="Y29" s="2698"/>
      <c r="Z29" s="2698"/>
      <c r="AA29" s="2698"/>
      <c r="AB29" s="2698"/>
      <c r="AC29" s="2698"/>
      <c r="AD29" s="2698"/>
      <c r="AE29" s="2698"/>
      <c r="AF29" s="2699"/>
      <c r="AG29" s="2671"/>
      <c r="AH29" s="691">
        <v>9</v>
      </c>
      <c r="AI29" s="2664" t="s">
        <v>509</v>
      </c>
      <c r="AJ29" s="2664"/>
      <c r="AK29" s="2662">
        <v>45</v>
      </c>
      <c r="AL29" s="2662"/>
      <c r="AM29" s="692">
        <v>20</v>
      </c>
      <c r="AN29" s="2664" t="s">
        <v>509</v>
      </c>
      <c r="AO29" s="2664"/>
      <c r="AP29" s="2662">
        <v>0</v>
      </c>
      <c r="AQ29" s="2663"/>
      <c r="AR29" s="2680"/>
      <c r="AS29" s="2680"/>
      <c r="AT29" s="2680"/>
      <c r="AU29" s="2680"/>
      <c r="AV29" s="2681"/>
      <c r="AW29" s="2686"/>
      <c r="AX29" s="2687"/>
      <c r="AY29" s="2690"/>
      <c r="AZ29" s="2686"/>
      <c r="BA29" s="2687"/>
      <c r="BB29" s="2697"/>
      <c r="BC29" s="2698"/>
      <c r="BD29" s="2698"/>
      <c r="BE29" s="2698"/>
      <c r="BF29" s="2698"/>
      <c r="BG29" s="2698"/>
      <c r="BH29" s="2698"/>
      <c r="BI29" s="2698"/>
      <c r="BJ29" s="2698"/>
      <c r="BK29" s="2698"/>
      <c r="BL29" s="2699"/>
      <c r="BN29" s="365">
        <v>23</v>
      </c>
    </row>
    <row r="30" spans="1:67" s="365" customFormat="1" ht="15" customHeight="1">
      <c r="A30" s="2670" t="s">
        <v>2836</v>
      </c>
      <c r="B30" s="2674" t="s">
        <v>2827</v>
      </c>
      <c r="C30" s="2665"/>
      <c r="D30" s="2665"/>
      <c r="E30" s="2665"/>
      <c r="F30" s="2675"/>
      <c r="G30" s="2665" t="s">
        <v>2828</v>
      </c>
      <c r="H30" s="2665"/>
      <c r="I30" s="2665"/>
      <c r="J30" s="2665"/>
      <c r="K30" s="2666"/>
      <c r="L30" s="2676"/>
      <c r="M30" s="2676"/>
      <c r="N30" s="2676"/>
      <c r="O30" s="2676"/>
      <c r="P30" s="2677"/>
      <c r="Q30" s="2682"/>
      <c r="R30" s="2683"/>
      <c r="S30" s="2688"/>
      <c r="T30" s="2682"/>
      <c r="U30" s="2683"/>
      <c r="V30" s="2691"/>
      <c r="W30" s="2692"/>
      <c r="X30" s="2692"/>
      <c r="Y30" s="2692"/>
      <c r="Z30" s="2692"/>
      <c r="AA30" s="2692"/>
      <c r="AB30" s="2692"/>
      <c r="AC30" s="2692"/>
      <c r="AD30" s="2692"/>
      <c r="AE30" s="2692"/>
      <c r="AF30" s="2693"/>
      <c r="AG30" s="2670" t="s">
        <v>2836</v>
      </c>
      <c r="AH30" s="2674" t="s">
        <v>2827</v>
      </c>
      <c r="AI30" s="2665"/>
      <c r="AJ30" s="2665"/>
      <c r="AK30" s="2665"/>
      <c r="AL30" s="2675"/>
      <c r="AM30" s="2665" t="s">
        <v>2828</v>
      </c>
      <c r="AN30" s="2665"/>
      <c r="AO30" s="2665"/>
      <c r="AP30" s="2665"/>
      <c r="AQ30" s="2666"/>
      <c r="AR30" s="2676" t="s">
        <v>2861</v>
      </c>
      <c r="AS30" s="2676"/>
      <c r="AT30" s="2676"/>
      <c r="AU30" s="2676"/>
      <c r="AV30" s="2677"/>
      <c r="AW30" s="2682" t="s">
        <v>316</v>
      </c>
      <c r="AX30" s="2683"/>
      <c r="AY30" s="2688">
        <v>5</v>
      </c>
      <c r="AZ30" s="2682" t="s">
        <v>2857</v>
      </c>
      <c r="BA30" s="2683"/>
      <c r="BB30" s="2691"/>
      <c r="BC30" s="2692"/>
      <c r="BD30" s="2692"/>
      <c r="BE30" s="2692"/>
      <c r="BF30" s="2692"/>
      <c r="BG30" s="2692"/>
      <c r="BH30" s="2692"/>
      <c r="BI30" s="2692"/>
      <c r="BJ30" s="2692"/>
      <c r="BK30" s="2692"/>
      <c r="BL30" s="2693"/>
      <c r="BN30" s="365">
        <v>24</v>
      </c>
    </row>
    <row r="31" spans="1:67" s="365" customFormat="1" ht="26.1" customHeight="1">
      <c r="A31" s="2670"/>
      <c r="B31" s="688"/>
      <c r="C31" s="689" t="s">
        <v>506</v>
      </c>
      <c r="D31" s="2673"/>
      <c r="E31" s="2673"/>
      <c r="F31" s="690" t="s">
        <v>507</v>
      </c>
      <c r="G31" s="2700"/>
      <c r="H31" s="2700"/>
      <c r="I31" s="2700"/>
      <c r="J31" s="2700"/>
      <c r="K31" s="2701"/>
      <c r="L31" s="2678"/>
      <c r="M31" s="2678"/>
      <c r="N31" s="2678"/>
      <c r="O31" s="2678"/>
      <c r="P31" s="2679"/>
      <c r="Q31" s="2684"/>
      <c r="R31" s="2685"/>
      <c r="S31" s="2689"/>
      <c r="T31" s="2684"/>
      <c r="U31" s="2685"/>
      <c r="V31" s="2694"/>
      <c r="W31" s="2695"/>
      <c r="X31" s="2695"/>
      <c r="Y31" s="2695"/>
      <c r="Z31" s="2695"/>
      <c r="AA31" s="2695"/>
      <c r="AB31" s="2695"/>
      <c r="AC31" s="2695"/>
      <c r="AD31" s="2695"/>
      <c r="AE31" s="2695"/>
      <c r="AF31" s="2696"/>
      <c r="AG31" s="2670"/>
      <c r="AH31" s="688">
        <v>10</v>
      </c>
      <c r="AI31" s="689" t="s">
        <v>506</v>
      </c>
      <c r="AJ31" s="2673">
        <v>12</v>
      </c>
      <c r="AK31" s="2673"/>
      <c r="AL31" s="690" t="s">
        <v>507</v>
      </c>
      <c r="AM31" s="2700" t="s">
        <v>2831</v>
      </c>
      <c r="AN31" s="2700"/>
      <c r="AO31" s="2700"/>
      <c r="AP31" s="2700"/>
      <c r="AQ31" s="2701"/>
      <c r="AR31" s="2678"/>
      <c r="AS31" s="2678"/>
      <c r="AT31" s="2678"/>
      <c r="AU31" s="2678"/>
      <c r="AV31" s="2679"/>
      <c r="AW31" s="2684"/>
      <c r="AX31" s="2685"/>
      <c r="AY31" s="2689"/>
      <c r="AZ31" s="2684"/>
      <c r="BA31" s="2685"/>
      <c r="BB31" s="2694"/>
      <c r="BC31" s="2695"/>
      <c r="BD31" s="2695"/>
      <c r="BE31" s="2695"/>
      <c r="BF31" s="2695"/>
      <c r="BG31" s="2695"/>
      <c r="BH31" s="2695"/>
      <c r="BI31" s="2695"/>
      <c r="BJ31" s="2695"/>
      <c r="BK31" s="2695"/>
      <c r="BL31" s="2696"/>
      <c r="BN31" s="365">
        <v>25</v>
      </c>
    </row>
    <row r="32" spans="1:67" s="365" customFormat="1" ht="15" customHeight="1">
      <c r="A32" s="2670"/>
      <c r="B32" s="2702" t="s">
        <v>2829</v>
      </c>
      <c r="C32" s="2703"/>
      <c r="D32" s="2703"/>
      <c r="E32" s="2703"/>
      <c r="F32" s="2704"/>
      <c r="G32" s="2659" t="s">
        <v>2830</v>
      </c>
      <c r="H32" s="2660"/>
      <c r="I32" s="2660"/>
      <c r="J32" s="2660"/>
      <c r="K32" s="2661"/>
      <c r="L32" s="2678"/>
      <c r="M32" s="2678"/>
      <c r="N32" s="2678"/>
      <c r="O32" s="2678"/>
      <c r="P32" s="2679"/>
      <c r="Q32" s="2684"/>
      <c r="R32" s="2685"/>
      <c r="S32" s="2689"/>
      <c r="T32" s="2684"/>
      <c r="U32" s="2685"/>
      <c r="V32" s="2694"/>
      <c r="W32" s="2695"/>
      <c r="X32" s="2695"/>
      <c r="Y32" s="2695"/>
      <c r="Z32" s="2695"/>
      <c r="AA32" s="2695"/>
      <c r="AB32" s="2695"/>
      <c r="AC32" s="2695"/>
      <c r="AD32" s="2695"/>
      <c r="AE32" s="2695"/>
      <c r="AF32" s="2696"/>
      <c r="AG32" s="2670"/>
      <c r="AH32" s="2702" t="s">
        <v>2829</v>
      </c>
      <c r="AI32" s="2703"/>
      <c r="AJ32" s="2703"/>
      <c r="AK32" s="2703"/>
      <c r="AL32" s="2704"/>
      <c r="AM32" s="2659" t="s">
        <v>2830</v>
      </c>
      <c r="AN32" s="2660"/>
      <c r="AO32" s="2660"/>
      <c r="AP32" s="2660"/>
      <c r="AQ32" s="2661"/>
      <c r="AR32" s="2678"/>
      <c r="AS32" s="2678"/>
      <c r="AT32" s="2678"/>
      <c r="AU32" s="2678"/>
      <c r="AV32" s="2679"/>
      <c r="AW32" s="2684"/>
      <c r="AX32" s="2685"/>
      <c r="AY32" s="2689"/>
      <c r="AZ32" s="2684"/>
      <c r="BA32" s="2685"/>
      <c r="BB32" s="2694"/>
      <c r="BC32" s="2695"/>
      <c r="BD32" s="2695"/>
      <c r="BE32" s="2695"/>
      <c r="BF32" s="2695"/>
      <c r="BG32" s="2695"/>
      <c r="BH32" s="2695"/>
      <c r="BI32" s="2695"/>
      <c r="BJ32" s="2695"/>
      <c r="BK32" s="2695"/>
      <c r="BL32" s="2696"/>
      <c r="BN32" s="365">
        <v>26</v>
      </c>
    </row>
    <row r="33" spans="1:66" s="365" customFormat="1" ht="26.1" customHeight="1" thickBot="1">
      <c r="A33" s="2671"/>
      <c r="B33" s="691"/>
      <c r="C33" s="2664" t="s">
        <v>509</v>
      </c>
      <c r="D33" s="2664"/>
      <c r="E33" s="2662"/>
      <c r="F33" s="2662"/>
      <c r="G33" s="692"/>
      <c r="H33" s="2664" t="s">
        <v>509</v>
      </c>
      <c r="I33" s="2664"/>
      <c r="J33" s="2662"/>
      <c r="K33" s="2663"/>
      <c r="L33" s="2680"/>
      <c r="M33" s="2680"/>
      <c r="N33" s="2680"/>
      <c r="O33" s="2680"/>
      <c r="P33" s="2681"/>
      <c r="Q33" s="2686"/>
      <c r="R33" s="2687"/>
      <c r="S33" s="2690"/>
      <c r="T33" s="2686"/>
      <c r="U33" s="2687"/>
      <c r="V33" s="2697"/>
      <c r="W33" s="2698"/>
      <c r="X33" s="2698"/>
      <c r="Y33" s="2698"/>
      <c r="Z33" s="2698"/>
      <c r="AA33" s="2698"/>
      <c r="AB33" s="2698"/>
      <c r="AC33" s="2698"/>
      <c r="AD33" s="2698"/>
      <c r="AE33" s="2698"/>
      <c r="AF33" s="2699"/>
      <c r="AG33" s="2671"/>
      <c r="AH33" s="691">
        <v>18</v>
      </c>
      <c r="AI33" s="2664" t="s">
        <v>509</v>
      </c>
      <c r="AJ33" s="2664"/>
      <c r="AK33" s="2662">
        <v>0</v>
      </c>
      <c r="AL33" s="2662"/>
      <c r="AM33" s="692">
        <v>21</v>
      </c>
      <c r="AN33" s="2664" t="s">
        <v>509</v>
      </c>
      <c r="AO33" s="2664"/>
      <c r="AP33" s="2662">
        <v>30</v>
      </c>
      <c r="AQ33" s="2663"/>
      <c r="AR33" s="2680"/>
      <c r="AS33" s="2680"/>
      <c r="AT33" s="2680"/>
      <c r="AU33" s="2680"/>
      <c r="AV33" s="2681"/>
      <c r="AW33" s="2686"/>
      <c r="AX33" s="2687"/>
      <c r="AY33" s="2690"/>
      <c r="AZ33" s="2686"/>
      <c r="BA33" s="2687"/>
      <c r="BB33" s="2697"/>
      <c r="BC33" s="2698"/>
      <c r="BD33" s="2698"/>
      <c r="BE33" s="2698"/>
      <c r="BF33" s="2698"/>
      <c r="BG33" s="2698"/>
      <c r="BH33" s="2698"/>
      <c r="BI33" s="2698"/>
      <c r="BJ33" s="2698"/>
      <c r="BK33" s="2698"/>
      <c r="BL33" s="2699"/>
      <c r="BN33" s="365">
        <v>27</v>
      </c>
    </row>
    <row r="34" spans="1:66" ht="20.100000000000001" customHeight="1">
      <c r="A34" s="2736" t="s">
        <v>308</v>
      </c>
      <c r="B34" s="2736"/>
      <c r="C34" s="2736"/>
      <c r="D34" s="2736"/>
      <c r="E34" s="2736"/>
      <c r="F34" s="2736"/>
      <c r="G34" s="2736"/>
      <c r="H34" s="2736"/>
      <c r="I34" s="2736"/>
      <c r="J34" s="2736"/>
      <c r="K34" s="2736"/>
      <c r="L34" s="2736"/>
      <c r="M34" s="2736"/>
      <c r="N34" s="2736"/>
      <c r="O34" s="2736"/>
      <c r="P34" s="2736"/>
      <c r="Q34" s="2736"/>
      <c r="R34" s="2736"/>
      <c r="S34" s="2736"/>
      <c r="T34" s="2736"/>
      <c r="U34" s="2736"/>
      <c r="V34" s="2736"/>
      <c r="W34" s="2736"/>
      <c r="X34" s="2736"/>
      <c r="Y34" s="2736"/>
      <c r="Z34" s="2736"/>
      <c r="AA34" s="2736"/>
      <c r="AB34" s="2736"/>
      <c r="AC34" s="2736"/>
      <c r="AD34" s="2736"/>
      <c r="AE34" s="2736"/>
      <c r="AF34" s="2737"/>
      <c r="AG34" s="2736" t="s">
        <v>308</v>
      </c>
      <c r="AH34" s="2736"/>
      <c r="AI34" s="2736"/>
      <c r="AJ34" s="2736"/>
      <c r="AK34" s="2736"/>
      <c r="AL34" s="2736"/>
      <c r="AM34" s="2736"/>
      <c r="AN34" s="2736"/>
      <c r="AO34" s="2736"/>
      <c r="AP34" s="2736"/>
      <c r="AQ34" s="2736"/>
      <c r="AR34" s="2736"/>
      <c r="AS34" s="2736"/>
      <c r="AT34" s="2736"/>
      <c r="AU34" s="2736"/>
      <c r="AV34" s="2736"/>
      <c r="AW34" s="2736"/>
      <c r="AX34" s="2736"/>
      <c r="AY34" s="2736"/>
      <c r="AZ34" s="2736"/>
      <c r="BA34" s="2736"/>
      <c r="BB34" s="2736"/>
      <c r="BC34" s="2736"/>
      <c r="BD34" s="2736"/>
      <c r="BE34" s="2736"/>
      <c r="BF34" s="2736"/>
      <c r="BG34" s="2736"/>
      <c r="BH34" s="2736"/>
      <c r="BI34" s="2736"/>
      <c r="BJ34" s="2736"/>
      <c r="BK34" s="2736"/>
      <c r="BL34" s="2737"/>
      <c r="BN34" s="365">
        <v>28</v>
      </c>
    </row>
    <row r="35" spans="1:66" ht="20.100000000000001" customHeight="1">
      <c r="A35" s="2738"/>
      <c r="B35" s="2738"/>
      <c r="C35" s="2738"/>
      <c r="D35" s="2738"/>
      <c r="E35" s="2738"/>
      <c r="F35" s="2738"/>
      <c r="G35" s="2738"/>
      <c r="H35" s="2738"/>
      <c r="I35" s="2738"/>
      <c r="J35" s="2738"/>
      <c r="K35" s="2738"/>
      <c r="L35" s="2738"/>
      <c r="M35" s="2738"/>
      <c r="N35" s="2738"/>
      <c r="O35" s="2738"/>
      <c r="P35" s="2738"/>
      <c r="Q35" s="2738"/>
      <c r="R35" s="2738"/>
      <c r="S35" s="2738"/>
      <c r="T35" s="2738"/>
      <c r="U35" s="2738"/>
      <c r="V35" s="2738"/>
      <c r="W35" s="2738"/>
      <c r="X35" s="2738"/>
      <c r="Y35" s="2738"/>
      <c r="Z35" s="2738"/>
      <c r="AA35" s="2738"/>
      <c r="AB35" s="2738"/>
      <c r="AC35" s="2738"/>
      <c r="AD35" s="2738"/>
      <c r="AE35" s="2738"/>
      <c r="AF35" s="2739"/>
      <c r="AG35" s="2738"/>
      <c r="AH35" s="2738"/>
      <c r="AI35" s="2738"/>
      <c r="AJ35" s="2738"/>
      <c r="AK35" s="2738"/>
      <c r="AL35" s="2738"/>
      <c r="AM35" s="2738"/>
      <c r="AN35" s="2738"/>
      <c r="AO35" s="2738"/>
      <c r="AP35" s="2738"/>
      <c r="AQ35" s="2738"/>
      <c r="AR35" s="2738"/>
      <c r="AS35" s="2738"/>
      <c r="AT35" s="2738"/>
      <c r="AU35" s="2738"/>
      <c r="AV35" s="2738"/>
      <c r="AW35" s="2738"/>
      <c r="AX35" s="2738"/>
      <c r="AY35" s="2738"/>
      <c r="AZ35" s="2738"/>
      <c r="BA35" s="2738"/>
      <c r="BB35" s="2738"/>
      <c r="BC35" s="2738"/>
      <c r="BD35" s="2738"/>
      <c r="BE35" s="2738"/>
      <c r="BF35" s="2738"/>
      <c r="BG35" s="2738"/>
      <c r="BH35" s="2738"/>
      <c r="BI35" s="2738"/>
      <c r="BJ35" s="2738"/>
      <c r="BK35" s="2738"/>
      <c r="BL35" s="2739"/>
      <c r="BN35" s="365">
        <v>29</v>
      </c>
    </row>
    <row r="36" spans="1:66" ht="24.95" customHeight="1">
      <c r="A36" s="664"/>
      <c r="B36" s="693"/>
      <c r="C36" s="694"/>
      <c r="D36" s="694"/>
      <c r="E36" s="694"/>
      <c r="F36" s="693"/>
      <c r="G36" s="694"/>
      <c r="H36" s="694"/>
      <c r="I36" s="694"/>
      <c r="J36" s="694"/>
      <c r="K36" s="694"/>
      <c r="L36" s="694"/>
      <c r="M36" s="694"/>
      <c r="N36" s="694"/>
      <c r="O36" s="694"/>
      <c r="P36" s="694"/>
      <c r="Q36" s="2716" t="s">
        <v>301</v>
      </c>
      <c r="R36" s="2716"/>
      <c r="S36" s="677" t="s">
        <v>309</v>
      </c>
      <c r="T36" s="678">
        <f>$T$10</f>
        <v>0</v>
      </c>
      <c r="U36" s="677" t="s">
        <v>18</v>
      </c>
      <c r="V36" s="678" t="str">
        <f>$V$10</f>
        <v/>
      </c>
      <c r="W36" s="677" t="s">
        <v>17</v>
      </c>
      <c r="X36" s="679" t="str">
        <f>$X$10</f>
        <v/>
      </c>
      <c r="Y36" s="680" t="s">
        <v>16</v>
      </c>
      <c r="Z36" s="678" t="s">
        <v>310</v>
      </c>
      <c r="AA36" s="678" t="str">
        <f>$AA$10</f>
        <v/>
      </c>
      <c r="AB36" s="681" t="s">
        <v>311</v>
      </c>
      <c r="AC36" s="677"/>
      <c r="AD36" s="677"/>
      <c r="AE36" s="677"/>
      <c r="AF36" s="677"/>
      <c r="AG36" s="664"/>
      <c r="AH36" s="693"/>
      <c r="AI36" s="694"/>
      <c r="AJ36" s="694"/>
      <c r="AK36" s="694"/>
      <c r="AL36" s="693"/>
      <c r="AM36" s="694"/>
      <c r="AN36" s="694"/>
      <c r="AO36" s="694"/>
      <c r="AP36" s="694"/>
      <c r="AQ36" s="694"/>
      <c r="AR36" s="694"/>
      <c r="AS36" s="694"/>
      <c r="AT36" s="694"/>
      <c r="AU36" s="694"/>
      <c r="AV36" s="694"/>
      <c r="AW36" s="677" t="s">
        <v>301</v>
      </c>
      <c r="AX36" s="677" t="s">
        <v>2847</v>
      </c>
      <c r="AY36" s="2716">
        <f>$T$10</f>
        <v>0</v>
      </c>
      <c r="AZ36" s="2716"/>
      <c r="BA36" s="677" t="s">
        <v>18</v>
      </c>
      <c r="BB36" s="678">
        <v>10</v>
      </c>
      <c r="BC36" s="677" t="s">
        <v>17</v>
      </c>
      <c r="BD36" s="679">
        <v>12</v>
      </c>
      <c r="BE36" s="680" t="s">
        <v>16</v>
      </c>
      <c r="BF36" s="678" t="s">
        <v>43</v>
      </c>
      <c r="BG36" s="680" t="s">
        <v>2840</v>
      </c>
      <c r="BH36" s="681" t="s">
        <v>42</v>
      </c>
      <c r="BI36" s="677"/>
      <c r="BJ36" s="677"/>
      <c r="BK36" s="677"/>
      <c r="BL36" s="677"/>
      <c r="BN36" s="365">
        <v>30</v>
      </c>
    </row>
    <row r="37" spans="1:66" ht="20.100000000000001" customHeight="1">
      <c r="A37" s="670"/>
      <c r="B37" s="693"/>
      <c r="C37" s="694"/>
      <c r="D37" s="694"/>
      <c r="E37" s="694"/>
      <c r="F37" s="693"/>
      <c r="G37" s="694"/>
      <c r="H37" s="694"/>
      <c r="I37" s="694"/>
      <c r="J37" s="694"/>
      <c r="K37" s="694"/>
      <c r="L37" s="694"/>
      <c r="M37" s="694"/>
      <c r="N37" s="694"/>
      <c r="O37" s="694"/>
      <c r="P37" s="694"/>
      <c r="Q37" s="2717"/>
      <c r="R37" s="2717"/>
      <c r="S37" s="2717"/>
      <c r="T37" s="682"/>
      <c r="U37" s="682"/>
      <c r="V37" s="682"/>
      <c r="W37" s="682" t="s">
        <v>312</v>
      </c>
      <c r="X37" s="683">
        <f>$X$11</f>
        <v>0</v>
      </c>
      <c r="Y37" s="682" t="s">
        <v>18</v>
      </c>
      <c r="Z37" s="683" t="str">
        <f>$Z$11</f>
        <v/>
      </c>
      <c r="AA37" s="682" t="s">
        <v>17</v>
      </c>
      <c r="AB37" s="678" t="str">
        <f>$AB$11</f>
        <v/>
      </c>
      <c r="AC37" s="682" t="s">
        <v>16</v>
      </c>
      <c r="AD37" s="683" t="s">
        <v>85</v>
      </c>
      <c r="AE37" s="683" t="str">
        <f>$AE$11</f>
        <v/>
      </c>
      <c r="AF37" s="682" t="s">
        <v>48</v>
      </c>
      <c r="AG37" s="670"/>
      <c r="AH37" s="693"/>
      <c r="AI37" s="694"/>
      <c r="AJ37" s="694"/>
      <c r="AK37" s="694"/>
      <c r="AL37" s="693"/>
      <c r="AM37" s="694"/>
      <c r="AN37" s="694"/>
      <c r="AO37" s="694"/>
      <c r="AP37" s="694"/>
      <c r="AQ37" s="694"/>
      <c r="AR37" s="694"/>
      <c r="AS37" s="694"/>
      <c r="AT37" s="694"/>
      <c r="AU37" s="694"/>
      <c r="AV37" s="694"/>
      <c r="AW37" s="2717"/>
      <c r="AX37" s="2717"/>
      <c r="AY37" s="2717"/>
      <c r="AZ37" s="682"/>
      <c r="BA37" s="682"/>
      <c r="BB37" s="682" t="s">
        <v>2848</v>
      </c>
      <c r="BC37" s="2717">
        <f>$X$11</f>
        <v>0</v>
      </c>
      <c r="BD37" s="2717"/>
      <c r="BE37" s="682" t="s">
        <v>18</v>
      </c>
      <c r="BF37" s="683">
        <v>10</v>
      </c>
      <c r="BG37" s="682" t="s">
        <v>17</v>
      </c>
      <c r="BH37" s="683">
        <v>13</v>
      </c>
      <c r="BI37" s="682" t="s">
        <v>16</v>
      </c>
      <c r="BJ37" s="683" t="s">
        <v>43</v>
      </c>
      <c r="BK37" s="684" t="s">
        <v>2841</v>
      </c>
      <c r="BL37" s="682" t="s">
        <v>48</v>
      </c>
      <c r="BN37" s="365">
        <v>31</v>
      </c>
    </row>
    <row r="38" spans="1:66" ht="24.95" customHeight="1" thickBot="1">
      <c r="A38" s="2733" t="s">
        <v>2839</v>
      </c>
      <c r="B38" s="2733"/>
      <c r="C38" s="2733"/>
      <c r="D38" s="2733"/>
      <c r="E38" s="686"/>
      <c r="F38" s="686"/>
      <c r="G38" s="686"/>
      <c r="H38" s="686"/>
      <c r="I38" s="686"/>
      <c r="J38" s="686"/>
      <c r="K38" s="686"/>
      <c r="L38" s="686"/>
      <c r="M38" s="686"/>
      <c r="N38" s="686"/>
      <c r="O38" s="686"/>
      <c r="P38" s="686"/>
      <c r="Q38" s="2710" t="s">
        <v>303</v>
      </c>
      <c r="R38" s="2710"/>
      <c r="S38" s="695" t="s">
        <v>304</v>
      </c>
      <c r="T38" s="2714" t="str">
        <f>T12</f>
        <v/>
      </c>
      <c r="U38" s="2714"/>
      <c r="V38" s="2714"/>
      <c r="W38" s="2714"/>
      <c r="X38" s="2714"/>
      <c r="Y38" s="2714"/>
      <c r="Z38" s="2714"/>
      <c r="AA38" s="2714"/>
      <c r="AB38" s="2714"/>
      <c r="AC38" s="2714"/>
      <c r="AD38" s="2714"/>
      <c r="AE38" s="2714"/>
      <c r="AF38" s="2714"/>
      <c r="AG38" s="2733" t="s">
        <v>2839</v>
      </c>
      <c r="AH38" s="2733"/>
      <c r="AI38" s="2733"/>
      <c r="AJ38" s="2733"/>
      <c r="AK38" s="686"/>
      <c r="AL38" s="686"/>
      <c r="AM38" s="686"/>
      <c r="AN38" s="686"/>
      <c r="AO38" s="686"/>
      <c r="AP38" s="686"/>
      <c r="AQ38" s="686"/>
      <c r="AR38" s="686"/>
      <c r="AS38" s="686"/>
      <c r="AT38" s="686"/>
      <c r="AU38" s="686"/>
      <c r="AV38" s="686"/>
      <c r="AW38" s="2710" t="s">
        <v>303</v>
      </c>
      <c r="AX38" s="2710"/>
      <c r="AY38" s="695" t="s">
        <v>304</v>
      </c>
      <c r="AZ38" s="2714" t="str">
        <f>AZ12</f>
        <v>札幌市立青少年山の家小学校</v>
      </c>
      <c r="BA38" s="2714"/>
      <c r="BB38" s="2714"/>
      <c r="BC38" s="2714"/>
      <c r="BD38" s="2714"/>
      <c r="BE38" s="2714"/>
      <c r="BF38" s="2714"/>
      <c r="BG38" s="2714"/>
      <c r="BH38" s="2714"/>
      <c r="BI38" s="2714"/>
      <c r="BJ38" s="2714"/>
      <c r="BK38" s="2714"/>
      <c r="BL38" s="2714"/>
      <c r="BN38" s="365"/>
    </row>
    <row r="39" spans="1:66" ht="30" customHeight="1" thickBot="1">
      <c r="A39" s="2734" t="s">
        <v>2837</v>
      </c>
      <c r="B39" s="2706"/>
      <c r="C39" s="2706"/>
      <c r="D39" s="2706"/>
      <c r="E39" s="2706"/>
      <c r="F39" s="2706"/>
      <c r="G39" s="2706"/>
      <c r="H39" s="2706"/>
      <c r="I39" s="2706"/>
      <c r="J39" s="2706"/>
      <c r="K39" s="2735"/>
      <c r="L39" s="2706" t="s">
        <v>321</v>
      </c>
      <c r="M39" s="2706"/>
      <c r="N39" s="2706"/>
      <c r="O39" s="2706"/>
      <c r="P39" s="2707"/>
      <c r="Q39" s="2708" t="s">
        <v>305</v>
      </c>
      <c r="R39" s="2709"/>
      <c r="S39" s="687" t="s">
        <v>306</v>
      </c>
      <c r="T39" s="2719" t="s">
        <v>307</v>
      </c>
      <c r="U39" s="2721"/>
      <c r="V39" s="2718" t="s">
        <v>508</v>
      </c>
      <c r="W39" s="2719"/>
      <c r="X39" s="2719"/>
      <c r="Y39" s="2719"/>
      <c r="Z39" s="2719"/>
      <c r="AA39" s="2719"/>
      <c r="AB39" s="2719"/>
      <c r="AC39" s="2719"/>
      <c r="AD39" s="2719"/>
      <c r="AE39" s="2719"/>
      <c r="AF39" s="2720"/>
      <c r="AG39" s="2734" t="s">
        <v>2837</v>
      </c>
      <c r="AH39" s="2706"/>
      <c r="AI39" s="2706"/>
      <c r="AJ39" s="2706"/>
      <c r="AK39" s="2706"/>
      <c r="AL39" s="2706"/>
      <c r="AM39" s="2706"/>
      <c r="AN39" s="2706"/>
      <c r="AO39" s="2706"/>
      <c r="AP39" s="2706"/>
      <c r="AQ39" s="2735"/>
      <c r="AR39" s="2706" t="s">
        <v>321</v>
      </c>
      <c r="AS39" s="2706"/>
      <c r="AT39" s="2706"/>
      <c r="AU39" s="2706"/>
      <c r="AV39" s="2707"/>
      <c r="AW39" s="2708" t="s">
        <v>305</v>
      </c>
      <c r="AX39" s="2709"/>
      <c r="AY39" s="699" t="s">
        <v>306</v>
      </c>
      <c r="AZ39" s="2719" t="s">
        <v>307</v>
      </c>
      <c r="BA39" s="2721"/>
      <c r="BB39" s="2718" t="s">
        <v>508</v>
      </c>
      <c r="BC39" s="2719"/>
      <c r="BD39" s="2719"/>
      <c r="BE39" s="2719"/>
      <c r="BF39" s="2719"/>
      <c r="BG39" s="2719"/>
      <c r="BH39" s="2719"/>
      <c r="BI39" s="2719"/>
      <c r="BJ39" s="2719"/>
      <c r="BK39" s="2719"/>
      <c r="BL39" s="2720"/>
      <c r="BN39" s="365"/>
    </row>
    <row r="40" spans="1:66" ht="15" customHeight="1" thickTop="1">
      <c r="A40" s="2711" t="s">
        <v>2842</v>
      </c>
      <c r="B40" s="2712" t="s">
        <v>2827</v>
      </c>
      <c r="C40" s="2667"/>
      <c r="D40" s="2667"/>
      <c r="E40" s="2667"/>
      <c r="F40" s="2713"/>
      <c r="G40" s="2667" t="s">
        <v>2828</v>
      </c>
      <c r="H40" s="2667"/>
      <c r="I40" s="2667"/>
      <c r="J40" s="2667"/>
      <c r="K40" s="2668"/>
      <c r="L40" s="2676"/>
      <c r="M40" s="2676"/>
      <c r="N40" s="2676"/>
      <c r="O40" s="2676"/>
      <c r="P40" s="2677"/>
      <c r="Q40" s="2682"/>
      <c r="R40" s="2683"/>
      <c r="S40" s="2688"/>
      <c r="T40" s="2682"/>
      <c r="U40" s="2683"/>
      <c r="V40" s="2691"/>
      <c r="W40" s="2692"/>
      <c r="X40" s="2692"/>
      <c r="Y40" s="2692"/>
      <c r="Z40" s="2692"/>
      <c r="AA40" s="2692"/>
      <c r="AB40" s="2692"/>
      <c r="AC40" s="2692"/>
      <c r="AD40" s="2692"/>
      <c r="AE40" s="2692"/>
      <c r="AF40" s="2693"/>
      <c r="AG40" s="2711" t="s">
        <v>2842</v>
      </c>
      <c r="AH40" s="2712" t="s">
        <v>2827</v>
      </c>
      <c r="AI40" s="2667"/>
      <c r="AJ40" s="2667"/>
      <c r="AK40" s="2667"/>
      <c r="AL40" s="2713"/>
      <c r="AM40" s="2667" t="s">
        <v>2828</v>
      </c>
      <c r="AN40" s="2667"/>
      <c r="AO40" s="2667"/>
      <c r="AP40" s="2667"/>
      <c r="AQ40" s="2668"/>
      <c r="AR40" s="2676" t="s">
        <v>2855</v>
      </c>
      <c r="AS40" s="2676"/>
      <c r="AT40" s="2676"/>
      <c r="AU40" s="2676"/>
      <c r="AV40" s="2677"/>
      <c r="AW40" s="2682" t="s">
        <v>314</v>
      </c>
      <c r="AX40" s="2683"/>
      <c r="AY40" s="2688">
        <v>3</v>
      </c>
      <c r="AZ40" s="2682" t="s">
        <v>2862</v>
      </c>
      <c r="BA40" s="2683"/>
      <c r="BB40" s="2705" t="s">
        <v>2863</v>
      </c>
      <c r="BC40" s="2692"/>
      <c r="BD40" s="2692"/>
      <c r="BE40" s="2692"/>
      <c r="BF40" s="2692"/>
      <c r="BG40" s="2692"/>
      <c r="BH40" s="2692"/>
      <c r="BI40" s="2692"/>
      <c r="BJ40" s="2692"/>
      <c r="BK40" s="2692"/>
      <c r="BL40" s="2693"/>
      <c r="BN40" s="365"/>
    </row>
    <row r="41" spans="1:66" ht="26.1" customHeight="1">
      <c r="A41" s="2670"/>
      <c r="B41" s="688"/>
      <c r="C41" s="689" t="s">
        <v>506</v>
      </c>
      <c r="D41" s="2673"/>
      <c r="E41" s="2673"/>
      <c r="F41" s="690" t="s">
        <v>507</v>
      </c>
      <c r="G41" s="2700"/>
      <c r="H41" s="2700"/>
      <c r="I41" s="2700"/>
      <c r="J41" s="2700"/>
      <c r="K41" s="2701"/>
      <c r="L41" s="2678"/>
      <c r="M41" s="2678"/>
      <c r="N41" s="2678"/>
      <c r="O41" s="2678"/>
      <c r="P41" s="2679"/>
      <c r="Q41" s="2684"/>
      <c r="R41" s="2685"/>
      <c r="S41" s="2689"/>
      <c r="T41" s="2684"/>
      <c r="U41" s="2685"/>
      <c r="V41" s="2694"/>
      <c r="W41" s="2695"/>
      <c r="X41" s="2695"/>
      <c r="Y41" s="2695"/>
      <c r="Z41" s="2695"/>
      <c r="AA41" s="2695"/>
      <c r="AB41" s="2695"/>
      <c r="AC41" s="2695"/>
      <c r="AD41" s="2695"/>
      <c r="AE41" s="2695"/>
      <c r="AF41" s="2696"/>
      <c r="AG41" s="2670"/>
      <c r="AH41" s="688">
        <v>10</v>
      </c>
      <c r="AI41" s="689" t="s">
        <v>506</v>
      </c>
      <c r="AJ41" s="2673">
        <v>13</v>
      </c>
      <c r="AK41" s="2673"/>
      <c r="AL41" s="690" t="s">
        <v>507</v>
      </c>
      <c r="AM41" s="2700" t="s">
        <v>2853</v>
      </c>
      <c r="AN41" s="2700"/>
      <c r="AO41" s="2700"/>
      <c r="AP41" s="2700"/>
      <c r="AQ41" s="2701"/>
      <c r="AR41" s="2678"/>
      <c r="AS41" s="2678"/>
      <c r="AT41" s="2678"/>
      <c r="AU41" s="2678"/>
      <c r="AV41" s="2679"/>
      <c r="AW41" s="2684"/>
      <c r="AX41" s="2685"/>
      <c r="AY41" s="2689"/>
      <c r="AZ41" s="2684"/>
      <c r="BA41" s="2685"/>
      <c r="BB41" s="2694"/>
      <c r="BC41" s="2695"/>
      <c r="BD41" s="2695"/>
      <c r="BE41" s="2695"/>
      <c r="BF41" s="2695"/>
      <c r="BG41" s="2695"/>
      <c r="BH41" s="2695"/>
      <c r="BI41" s="2695"/>
      <c r="BJ41" s="2695"/>
      <c r="BK41" s="2695"/>
      <c r="BL41" s="2696"/>
      <c r="BN41" s="365"/>
    </row>
    <row r="42" spans="1:66" ht="15" customHeight="1">
      <c r="A42" s="2670"/>
      <c r="B42" s="2702" t="s">
        <v>2829</v>
      </c>
      <c r="C42" s="2703"/>
      <c r="D42" s="2703"/>
      <c r="E42" s="2703"/>
      <c r="F42" s="2704"/>
      <c r="G42" s="2659" t="s">
        <v>2830</v>
      </c>
      <c r="H42" s="2660"/>
      <c r="I42" s="2660"/>
      <c r="J42" s="2660"/>
      <c r="K42" s="2661"/>
      <c r="L42" s="2678"/>
      <c r="M42" s="2678"/>
      <c r="N42" s="2678"/>
      <c r="O42" s="2678"/>
      <c r="P42" s="2679"/>
      <c r="Q42" s="2684"/>
      <c r="R42" s="2685"/>
      <c r="S42" s="2689"/>
      <c r="T42" s="2684"/>
      <c r="U42" s="2685"/>
      <c r="V42" s="2694"/>
      <c r="W42" s="2695"/>
      <c r="X42" s="2695"/>
      <c r="Y42" s="2695"/>
      <c r="Z42" s="2695"/>
      <c r="AA42" s="2695"/>
      <c r="AB42" s="2695"/>
      <c r="AC42" s="2695"/>
      <c r="AD42" s="2695"/>
      <c r="AE42" s="2695"/>
      <c r="AF42" s="2696"/>
      <c r="AG42" s="2670"/>
      <c r="AH42" s="2702" t="s">
        <v>2829</v>
      </c>
      <c r="AI42" s="2703"/>
      <c r="AJ42" s="2703"/>
      <c r="AK42" s="2703"/>
      <c r="AL42" s="2704"/>
      <c r="AM42" s="2659" t="s">
        <v>2830</v>
      </c>
      <c r="AN42" s="2660"/>
      <c r="AO42" s="2660"/>
      <c r="AP42" s="2660"/>
      <c r="AQ42" s="2661"/>
      <c r="AR42" s="2678"/>
      <c r="AS42" s="2678"/>
      <c r="AT42" s="2678"/>
      <c r="AU42" s="2678"/>
      <c r="AV42" s="2679"/>
      <c r="AW42" s="2684"/>
      <c r="AX42" s="2685"/>
      <c r="AY42" s="2689"/>
      <c r="AZ42" s="2684"/>
      <c r="BA42" s="2685"/>
      <c r="BB42" s="2694"/>
      <c r="BC42" s="2695"/>
      <c r="BD42" s="2695"/>
      <c r="BE42" s="2695"/>
      <c r="BF42" s="2695"/>
      <c r="BG42" s="2695"/>
      <c r="BH42" s="2695"/>
      <c r="BI42" s="2695"/>
      <c r="BJ42" s="2695"/>
      <c r="BK42" s="2695"/>
      <c r="BL42" s="2696"/>
      <c r="BN42" s="365"/>
    </row>
    <row r="43" spans="1:66" ht="26.1" customHeight="1" thickBot="1">
      <c r="A43" s="2671"/>
      <c r="B43" s="691"/>
      <c r="C43" s="2664" t="s">
        <v>509</v>
      </c>
      <c r="D43" s="2664"/>
      <c r="E43" s="2662"/>
      <c r="F43" s="2662"/>
      <c r="G43" s="692"/>
      <c r="H43" s="2664" t="s">
        <v>509</v>
      </c>
      <c r="I43" s="2664"/>
      <c r="J43" s="2662"/>
      <c r="K43" s="2663"/>
      <c r="L43" s="2680"/>
      <c r="M43" s="2680"/>
      <c r="N43" s="2680"/>
      <c r="O43" s="2680"/>
      <c r="P43" s="2681"/>
      <c r="Q43" s="2686"/>
      <c r="R43" s="2687"/>
      <c r="S43" s="2690"/>
      <c r="T43" s="2686"/>
      <c r="U43" s="2687"/>
      <c r="V43" s="2697"/>
      <c r="W43" s="2698"/>
      <c r="X43" s="2698"/>
      <c r="Y43" s="2698"/>
      <c r="Z43" s="2698"/>
      <c r="AA43" s="2698"/>
      <c r="AB43" s="2698"/>
      <c r="AC43" s="2698"/>
      <c r="AD43" s="2698"/>
      <c r="AE43" s="2698"/>
      <c r="AF43" s="2699"/>
      <c r="AG43" s="2671"/>
      <c r="AH43" s="691">
        <v>13</v>
      </c>
      <c r="AI43" s="2664" t="s">
        <v>509</v>
      </c>
      <c r="AJ43" s="2664"/>
      <c r="AK43" s="2662">
        <v>0</v>
      </c>
      <c r="AL43" s="2662"/>
      <c r="AM43" s="692">
        <v>13</v>
      </c>
      <c r="AN43" s="2664" t="s">
        <v>509</v>
      </c>
      <c r="AO43" s="2664"/>
      <c r="AP43" s="2662">
        <v>30</v>
      </c>
      <c r="AQ43" s="2663"/>
      <c r="AR43" s="2680"/>
      <c r="AS43" s="2680"/>
      <c r="AT43" s="2680"/>
      <c r="AU43" s="2680"/>
      <c r="AV43" s="2681"/>
      <c r="AW43" s="2686"/>
      <c r="AX43" s="2687"/>
      <c r="AY43" s="2690"/>
      <c r="AZ43" s="2686"/>
      <c r="BA43" s="2687"/>
      <c r="BB43" s="2697"/>
      <c r="BC43" s="2698"/>
      <c r="BD43" s="2698"/>
      <c r="BE43" s="2698"/>
      <c r="BF43" s="2698"/>
      <c r="BG43" s="2698"/>
      <c r="BH43" s="2698"/>
      <c r="BI43" s="2698"/>
      <c r="BJ43" s="2698"/>
      <c r="BK43" s="2698"/>
      <c r="BL43" s="2699"/>
      <c r="BN43" s="365"/>
    </row>
    <row r="44" spans="1:66" ht="15" customHeight="1">
      <c r="A44" s="2669" t="s">
        <v>2843</v>
      </c>
      <c r="B44" s="2674" t="s">
        <v>2827</v>
      </c>
      <c r="C44" s="2665"/>
      <c r="D44" s="2665"/>
      <c r="E44" s="2665"/>
      <c r="F44" s="2675"/>
      <c r="G44" s="2665" t="s">
        <v>2828</v>
      </c>
      <c r="H44" s="2665"/>
      <c r="I44" s="2665"/>
      <c r="J44" s="2665"/>
      <c r="K44" s="2666"/>
      <c r="L44" s="2676"/>
      <c r="M44" s="2676"/>
      <c r="N44" s="2676"/>
      <c r="O44" s="2676"/>
      <c r="P44" s="2677"/>
      <c r="Q44" s="2682"/>
      <c r="R44" s="2683"/>
      <c r="S44" s="2688"/>
      <c r="T44" s="2682"/>
      <c r="U44" s="2683"/>
      <c r="V44" s="2691"/>
      <c r="W44" s="2692"/>
      <c r="X44" s="2692"/>
      <c r="Y44" s="2692"/>
      <c r="Z44" s="2692"/>
      <c r="AA44" s="2692"/>
      <c r="AB44" s="2692"/>
      <c r="AC44" s="2692"/>
      <c r="AD44" s="2692"/>
      <c r="AE44" s="2692"/>
      <c r="AF44" s="2693"/>
      <c r="AG44" s="2669" t="s">
        <v>2843</v>
      </c>
      <c r="AH44" s="2674" t="s">
        <v>2827</v>
      </c>
      <c r="AI44" s="2665"/>
      <c r="AJ44" s="2665"/>
      <c r="AK44" s="2665"/>
      <c r="AL44" s="2675"/>
      <c r="AM44" s="2665" t="s">
        <v>2828</v>
      </c>
      <c r="AN44" s="2665"/>
      <c r="AO44" s="2665"/>
      <c r="AP44" s="2665"/>
      <c r="AQ44" s="2666"/>
      <c r="AR44" s="2676" t="s">
        <v>2859</v>
      </c>
      <c r="AS44" s="2676"/>
      <c r="AT44" s="2676"/>
      <c r="AU44" s="2676"/>
      <c r="AV44" s="2677"/>
      <c r="AW44" s="2682" t="s">
        <v>316</v>
      </c>
      <c r="AX44" s="2683"/>
      <c r="AY44" s="2688">
        <v>1</v>
      </c>
      <c r="AZ44" s="2682" t="s">
        <v>317</v>
      </c>
      <c r="BA44" s="2683"/>
      <c r="BB44" s="2691"/>
      <c r="BC44" s="2692"/>
      <c r="BD44" s="2692"/>
      <c r="BE44" s="2692"/>
      <c r="BF44" s="2692"/>
      <c r="BG44" s="2692"/>
      <c r="BH44" s="2692"/>
      <c r="BI44" s="2692"/>
      <c r="BJ44" s="2692"/>
      <c r="BK44" s="2692"/>
      <c r="BL44" s="2693"/>
    </row>
    <row r="45" spans="1:66" ht="26.1" customHeight="1">
      <c r="A45" s="2670"/>
      <c r="B45" s="688"/>
      <c r="C45" s="689" t="s">
        <v>506</v>
      </c>
      <c r="D45" s="2673"/>
      <c r="E45" s="2673"/>
      <c r="F45" s="690" t="s">
        <v>507</v>
      </c>
      <c r="G45" s="2700"/>
      <c r="H45" s="2700"/>
      <c r="I45" s="2700"/>
      <c r="J45" s="2700"/>
      <c r="K45" s="2701"/>
      <c r="L45" s="2678"/>
      <c r="M45" s="2678"/>
      <c r="N45" s="2678"/>
      <c r="O45" s="2678"/>
      <c r="P45" s="2679"/>
      <c r="Q45" s="2684"/>
      <c r="R45" s="2685"/>
      <c r="S45" s="2689"/>
      <c r="T45" s="2684"/>
      <c r="U45" s="2685"/>
      <c r="V45" s="2694"/>
      <c r="W45" s="2695"/>
      <c r="X45" s="2695"/>
      <c r="Y45" s="2695"/>
      <c r="Z45" s="2695"/>
      <c r="AA45" s="2695"/>
      <c r="AB45" s="2695"/>
      <c r="AC45" s="2695"/>
      <c r="AD45" s="2695"/>
      <c r="AE45" s="2695"/>
      <c r="AF45" s="2696"/>
      <c r="AG45" s="2670"/>
      <c r="AH45" s="688">
        <v>10</v>
      </c>
      <c r="AI45" s="689" t="s">
        <v>506</v>
      </c>
      <c r="AJ45" s="2673">
        <v>13</v>
      </c>
      <c r="AK45" s="2673"/>
      <c r="AL45" s="690" t="s">
        <v>507</v>
      </c>
      <c r="AM45" s="2700" t="s">
        <v>318</v>
      </c>
      <c r="AN45" s="2700"/>
      <c r="AO45" s="2700"/>
      <c r="AP45" s="2700"/>
      <c r="AQ45" s="2701"/>
      <c r="AR45" s="2678"/>
      <c r="AS45" s="2678"/>
      <c r="AT45" s="2678"/>
      <c r="AU45" s="2678"/>
      <c r="AV45" s="2679"/>
      <c r="AW45" s="2684"/>
      <c r="AX45" s="2685"/>
      <c r="AY45" s="2689"/>
      <c r="AZ45" s="2684"/>
      <c r="BA45" s="2685"/>
      <c r="BB45" s="2694"/>
      <c r="BC45" s="2695"/>
      <c r="BD45" s="2695"/>
      <c r="BE45" s="2695"/>
      <c r="BF45" s="2695"/>
      <c r="BG45" s="2695"/>
      <c r="BH45" s="2695"/>
      <c r="BI45" s="2695"/>
      <c r="BJ45" s="2695"/>
      <c r="BK45" s="2695"/>
      <c r="BL45" s="2696"/>
    </row>
    <row r="46" spans="1:66" ht="15" customHeight="1">
      <c r="A46" s="2670"/>
      <c r="B46" s="2702" t="s">
        <v>2829</v>
      </c>
      <c r="C46" s="2703"/>
      <c r="D46" s="2703"/>
      <c r="E46" s="2703"/>
      <c r="F46" s="2704"/>
      <c r="G46" s="2659" t="s">
        <v>2830</v>
      </c>
      <c r="H46" s="2660"/>
      <c r="I46" s="2660"/>
      <c r="J46" s="2660"/>
      <c r="K46" s="2661"/>
      <c r="L46" s="2678"/>
      <c r="M46" s="2678"/>
      <c r="N46" s="2678"/>
      <c r="O46" s="2678"/>
      <c r="P46" s="2679"/>
      <c r="Q46" s="2684"/>
      <c r="R46" s="2685"/>
      <c r="S46" s="2689"/>
      <c r="T46" s="2684"/>
      <c r="U46" s="2685"/>
      <c r="V46" s="2694"/>
      <c r="W46" s="2695"/>
      <c r="X46" s="2695"/>
      <c r="Y46" s="2695"/>
      <c r="Z46" s="2695"/>
      <c r="AA46" s="2695"/>
      <c r="AB46" s="2695"/>
      <c r="AC46" s="2695"/>
      <c r="AD46" s="2695"/>
      <c r="AE46" s="2695"/>
      <c r="AF46" s="2696"/>
      <c r="AG46" s="2670"/>
      <c r="AH46" s="2702" t="s">
        <v>2829</v>
      </c>
      <c r="AI46" s="2703"/>
      <c r="AJ46" s="2703"/>
      <c r="AK46" s="2703"/>
      <c r="AL46" s="2704"/>
      <c r="AM46" s="2659" t="s">
        <v>2830</v>
      </c>
      <c r="AN46" s="2660"/>
      <c r="AO46" s="2660"/>
      <c r="AP46" s="2660"/>
      <c r="AQ46" s="2661"/>
      <c r="AR46" s="2678"/>
      <c r="AS46" s="2678"/>
      <c r="AT46" s="2678"/>
      <c r="AU46" s="2678"/>
      <c r="AV46" s="2679"/>
      <c r="AW46" s="2684"/>
      <c r="AX46" s="2685"/>
      <c r="AY46" s="2689"/>
      <c r="AZ46" s="2684"/>
      <c r="BA46" s="2685"/>
      <c r="BB46" s="2694"/>
      <c r="BC46" s="2695"/>
      <c r="BD46" s="2695"/>
      <c r="BE46" s="2695"/>
      <c r="BF46" s="2695"/>
      <c r="BG46" s="2695"/>
      <c r="BH46" s="2695"/>
      <c r="BI46" s="2695"/>
      <c r="BJ46" s="2695"/>
      <c r="BK46" s="2695"/>
      <c r="BL46" s="2696"/>
    </row>
    <row r="47" spans="1:66" ht="26.1" customHeight="1" thickBot="1">
      <c r="A47" s="2671"/>
      <c r="B47" s="691"/>
      <c r="C47" s="2664" t="s">
        <v>509</v>
      </c>
      <c r="D47" s="2664"/>
      <c r="E47" s="2662"/>
      <c r="F47" s="2662"/>
      <c r="G47" s="692"/>
      <c r="H47" s="2664" t="s">
        <v>509</v>
      </c>
      <c r="I47" s="2664"/>
      <c r="J47" s="2662"/>
      <c r="K47" s="2663"/>
      <c r="L47" s="2680"/>
      <c r="M47" s="2680"/>
      <c r="N47" s="2680"/>
      <c r="O47" s="2680"/>
      <c r="P47" s="2681"/>
      <c r="Q47" s="2686"/>
      <c r="R47" s="2687"/>
      <c r="S47" s="2690"/>
      <c r="T47" s="2686"/>
      <c r="U47" s="2687"/>
      <c r="V47" s="2697"/>
      <c r="W47" s="2698"/>
      <c r="X47" s="2698"/>
      <c r="Y47" s="2698"/>
      <c r="Z47" s="2698"/>
      <c r="AA47" s="2698"/>
      <c r="AB47" s="2698"/>
      <c r="AC47" s="2698"/>
      <c r="AD47" s="2698"/>
      <c r="AE47" s="2698"/>
      <c r="AF47" s="2699"/>
      <c r="AG47" s="2671"/>
      <c r="AH47" s="691">
        <v>7</v>
      </c>
      <c r="AI47" s="2664" t="s">
        <v>509</v>
      </c>
      <c r="AJ47" s="2664"/>
      <c r="AK47" s="2662">
        <v>0</v>
      </c>
      <c r="AL47" s="2662"/>
      <c r="AM47" s="692">
        <v>14</v>
      </c>
      <c r="AN47" s="2664" t="s">
        <v>509</v>
      </c>
      <c r="AO47" s="2664"/>
      <c r="AP47" s="2662">
        <v>0</v>
      </c>
      <c r="AQ47" s="2663"/>
      <c r="AR47" s="2680"/>
      <c r="AS47" s="2680"/>
      <c r="AT47" s="2680"/>
      <c r="AU47" s="2680"/>
      <c r="AV47" s="2681"/>
      <c r="AW47" s="2686"/>
      <c r="AX47" s="2687"/>
      <c r="AY47" s="2690"/>
      <c r="AZ47" s="2686"/>
      <c r="BA47" s="2687"/>
      <c r="BB47" s="2697"/>
      <c r="BC47" s="2698"/>
      <c r="BD47" s="2698"/>
      <c r="BE47" s="2698"/>
      <c r="BF47" s="2698"/>
      <c r="BG47" s="2698"/>
      <c r="BH47" s="2698"/>
      <c r="BI47" s="2698"/>
      <c r="BJ47" s="2698"/>
      <c r="BK47" s="2698"/>
      <c r="BL47" s="2699"/>
    </row>
    <row r="48" spans="1:66" ht="15" customHeight="1">
      <c r="A48" s="2669" t="s">
        <v>2844</v>
      </c>
      <c r="B48" s="2674" t="s">
        <v>2827</v>
      </c>
      <c r="C48" s="2665"/>
      <c r="D48" s="2665"/>
      <c r="E48" s="2665"/>
      <c r="F48" s="2675"/>
      <c r="G48" s="2665" t="s">
        <v>2828</v>
      </c>
      <c r="H48" s="2665"/>
      <c r="I48" s="2665"/>
      <c r="J48" s="2665"/>
      <c r="K48" s="2666"/>
      <c r="L48" s="2676"/>
      <c r="M48" s="2676"/>
      <c r="N48" s="2676"/>
      <c r="O48" s="2676"/>
      <c r="P48" s="2677"/>
      <c r="Q48" s="2682"/>
      <c r="R48" s="2683"/>
      <c r="S48" s="2688"/>
      <c r="T48" s="2682"/>
      <c r="U48" s="2683"/>
      <c r="V48" s="2691"/>
      <c r="W48" s="2692"/>
      <c r="X48" s="2692"/>
      <c r="Y48" s="2692"/>
      <c r="Z48" s="2692"/>
      <c r="AA48" s="2692"/>
      <c r="AB48" s="2692"/>
      <c r="AC48" s="2692"/>
      <c r="AD48" s="2692"/>
      <c r="AE48" s="2692"/>
      <c r="AF48" s="2693"/>
      <c r="AG48" s="2669" t="s">
        <v>2844</v>
      </c>
      <c r="AH48" s="2674" t="s">
        <v>2827</v>
      </c>
      <c r="AI48" s="2665"/>
      <c r="AJ48" s="2665"/>
      <c r="AK48" s="2665"/>
      <c r="AL48" s="2675"/>
      <c r="AM48" s="2665" t="s">
        <v>2828</v>
      </c>
      <c r="AN48" s="2665"/>
      <c r="AO48" s="2665"/>
      <c r="AP48" s="2665"/>
      <c r="AQ48" s="2666"/>
      <c r="AR48" s="2676"/>
      <c r="AS48" s="2676"/>
      <c r="AT48" s="2676"/>
      <c r="AU48" s="2676"/>
      <c r="AV48" s="2677"/>
      <c r="AW48" s="2682"/>
      <c r="AX48" s="2683"/>
      <c r="AY48" s="2688"/>
      <c r="AZ48" s="2682"/>
      <c r="BA48" s="2683"/>
      <c r="BB48" s="2691"/>
      <c r="BC48" s="2692"/>
      <c r="BD48" s="2692"/>
      <c r="BE48" s="2692"/>
      <c r="BF48" s="2692"/>
      <c r="BG48" s="2692"/>
      <c r="BH48" s="2692"/>
      <c r="BI48" s="2692"/>
      <c r="BJ48" s="2692"/>
      <c r="BK48" s="2692"/>
      <c r="BL48" s="2693"/>
    </row>
    <row r="49" spans="1:64" ht="26.1" customHeight="1">
      <c r="A49" s="2670"/>
      <c r="B49" s="688"/>
      <c r="C49" s="689" t="s">
        <v>506</v>
      </c>
      <c r="D49" s="2673"/>
      <c r="E49" s="2673"/>
      <c r="F49" s="690" t="s">
        <v>507</v>
      </c>
      <c r="G49" s="2700"/>
      <c r="H49" s="2700"/>
      <c r="I49" s="2700"/>
      <c r="J49" s="2700"/>
      <c r="K49" s="2701"/>
      <c r="L49" s="2678"/>
      <c r="M49" s="2678"/>
      <c r="N49" s="2678"/>
      <c r="O49" s="2678"/>
      <c r="P49" s="2679"/>
      <c r="Q49" s="2684"/>
      <c r="R49" s="2685"/>
      <c r="S49" s="2689"/>
      <c r="T49" s="2684"/>
      <c r="U49" s="2685"/>
      <c r="V49" s="2694"/>
      <c r="W49" s="2695"/>
      <c r="X49" s="2695"/>
      <c r="Y49" s="2695"/>
      <c r="Z49" s="2695"/>
      <c r="AA49" s="2695"/>
      <c r="AB49" s="2695"/>
      <c r="AC49" s="2695"/>
      <c r="AD49" s="2695"/>
      <c r="AE49" s="2695"/>
      <c r="AF49" s="2696"/>
      <c r="AG49" s="2670"/>
      <c r="AH49" s="688"/>
      <c r="AI49" s="689" t="s">
        <v>506</v>
      </c>
      <c r="AJ49" s="2673"/>
      <c r="AK49" s="2673"/>
      <c r="AL49" s="690" t="s">
        <v>507</v>
      </c>
      <c r="AM49" s="2700"/>
      <c r="AN49" s="2700"/>
      <c r="AO49" s="2700"/>
      <c r="AP49" s="2700"/>
      <c r="AQ49" s="2701"/>
      <c r="AR49" s="2678"/>
      <c r="AS49" s="2678"/>
      <c r="AT49" s="2678"/>
      <c r="AU49" s="2678"/>
      <c r="AV49" s="2679"/>
      <c r="AW49" s="2684"/>
      <c r="AX49" s="2685"/>
      <c r="AY49" s="2689"/>
      <c r="AZ49" s="2684"/>
      <c r="BA49" s="2685"/>
      <c r="BB49" s="2694"/>
      <c r="BC49" s="2695"/>
      <c r="BD49" s="2695"/>
      <c r="BE49" s="2695"/>
      <c r="BF49" s="2695"/>
      <c r="BG49" s="2695"/>
      <c r="BH49" s="2695"/>
      <c r="BI49" s="2695"/>
      <c r="BJ49" s="2695"/>
      <c r="BK49" s="2695"/>
      <c r="BL49" s="2696"/>
    </row>
    <row r="50" spans="1:64" ht="15" customHeight="1">
      <c r="A50" s="2670"/>
      <c r="B50" s="2702" t="s">
        <v>2829</v>
      </c>
      <c r="C50" s="2703"/>
      <c r="D50" s="2703"/>
      <c r="E50" s="2703"/>
      <c r="F50" s="2704"/>
      <c r="G50" s="2659" t="s">
        <v>2830</v>
      </c>
      <c r="H50" s="2660"/>
      <c r="I50" s="2660"/>
      <c r="J50" s="2660"/>
      <c r="K50" s="2661"/>
      <c r="L50" s="2678"/>
      <c r="M50" s="2678"/>
      <c r="N50" s="2678"/>
      <c r="O50" s="2678"/>
      <c r="P50" s="2679"/>
      <c r="Q50" s="2684"/>
      <c r="R50" s="2685"/>
      <c r="S50" s="2689"/>
      <c r="T50" s="2684"/>
      <c r="U50" s="2685"/>
      <c r="V50" s="2694"/>
      <c r="W50" s="2695"/>
      <c r="X50" s="2695"/>
      <c r="Y50" s="2695"/>
      <c r="Z50" s="2695"/>
      <c r="AA50" s="2695"/>
      <c r="AB50" s="2695"/>
      <c r="AC50" s="2695"/>
      <c r="AD50" s="2695"/>
      <c r="AE50" s="2695"/>
      <c r="AF50" s="2696"/>
      <c r="AG50" s="2670"/>
      <c r="AH50" s="2702" t="s">
        <v>2829</v>
      </c>
      <c r="AI50" s="2703"/>
      <c r="AJ50" s="2703"/>
      <c r="AK50" s="2703"/>
      <c r="AL50" s="2704"/>
      <c r="AM50" s="2659" t="s">
        <v>2830</v>
      </c>
      <c r="AN50" s="2660"/>
      <c r="AO50" s="2660"/>
      <c r="AP50" s="2660"/>
      <c r="AQ50" s="2661"/>
      <c r="AR50" s="2678"/>
      <c r="AS50" s="2678"/>
      <c r="AT50" s="2678"/>
      <c r="AU50" s="2678"/>
      <c r="AV50" s="2679"/>
      <c r="AW50" s="2684"/>
      <c r="AX50" s="2685"/>
      <c r="AY50" s="2689"/>
      <c r="AZ50" s="2684"/>
      <c r="BA50" s="2685"/>
      <c r="BB50" s="2694"/>
      <c r="BC50" s="2695"/>
      <c r="BD50" s="2695"/>
      <c r="BE50" s="2695"/>
      <c r="BF50" s="2695"/>
      <c r="BG50" s="2695"/>
      <c r="BH50" s="2695"/>
      <c r="BI50" s="2695"/>
      <c r="BJ50" s="2695"/>
      <c r="BK50" s="2695"/>
      <c r="BL50" s="2696"/>
    </row>
    <row r="51" spans="1:64" ht="26.1" customHeight="1" thickBot="1">
      <c r="A51" s="2671"/>
      <c r="B51" s="691"/>
      <c r="C51" s="2664" t="s">
        <v>509</v>
      </c>
      <c r="D51" s="2664"/>
      <c r="E51" s="2662"/>
      <c r="F51" s="2662"/>
      <c r="G51" s="692"/>
      <c r="H51" s="2664" t="s">
        <v>509</v>
      </c>
      <c r="I51" s="2664"/>
      <c r="J51" s="2662"/>
      <c r="K51" s="2663"/>
      <c r="L51" s="2680"/>
      <c r="M51" s="2680"/>
      <c r="N51" s="2680"/>
      <c r="O51" s="2680"/>
      <c r="P51" s="2681"/>
      <c r="Q51" s="2686"/>
      <c r="R51" s="2687"/>
      <c r="S51" s="2690"/>
      <c r="T51" s="2686"/>
      <c r="U51" s="2687"/>
      <c r="V51" s="2697"/>
      <c r="W51" s="2698"/>
      <c r="X51" s="2698"/>
      <c r="Y51" s="2698"/>
      <c r="Z51" s="2698"/>
      <c r="AA51" s="2698"/>
      <c r="AB51" s="2698"/>
      <c r="AC51" s="2698"/>
      <c r="AD51" s="2698"/>
      <c r="AE51" s="2698"/>
      <c r="AF51" s="2699"/>
      <c r="AG51" s="2671"/>
      <c r="AH51" s="691"/>
      <c r="AI51" s="2664" t="s">
        <v>509</v>
      </c>
      <c r="AJ51" s="2664"/>
      <c r="AK51" s="2662"/>
      <c r="AL51" s="2662"/>
      <c r="AM51" s="692"/>
      <c r="AN51" s="2664" t="s">
        <v>509</v>
      </c>
      <c r="AO51" s="2664"/>
      <c r="AP51" s="2662"/>
      <c r="AQ51" s="2663"/>
      <c r="AR51" s="2680"/>
      <c r="AS51" s="2680"/>
      <c r="AT51" s="2680"/>
      <c r="AU51" s="2680"/>
      <c r="AV51" s="2681"/>
      <c r="AW51" s="2686"/>
      <c r="AX51" s="2687"/>
      <c r="AY51" s="2690"/>
      <c r="AZ51" s="2686"/>
      <c r="BA51" s="2687"/>
      <c r="BB51" s="2697"/>
      <c r="BC51" s="2698"/>
      <c r="BD51" s="2698"/>
      <c r="BE51" s="2698"/>
      <c r="BF51" s="2698"/>
      <c r="BG51" s="2698"/>
      <c r="BH51" s="2698"/>
      <c r="BI51" s="2698"/>
      <c r="BJ51" s="2698"/>
      <c r="BK51" s="2698"/>
      <c r="BL51" s="2699"/>
    </row>
    <row r="52" spans="1:64" ht="15" customHeight="1">
      <c r="A52" s="2669" t="s">
        <v>2845</v>
      </c>
      <c r="B52" s="2674" t="s">
        <v>2827</v>
      </c>
      <c r="C52" s="2665"/>
      <c r="D52" s="2665"/>
      <c r="E52" s="2665"/>
      <c r="F52" s="2675"/>
      <c r="G52" s="2665" t="s">
        <v>2828</v>
      </c>
      <c r="H52" s="2665"/>
      <c r="I52" s="2665"/>
      <c r="J52" s="2665"/>
      <c r="K52" s="2666"/>
      <c r="L52" s="2676"/>
      <c r="M52" s="2676"/>
      <c r="N52" s="2676"/>
      <c r="O52" s="2676"/>
      <c r="P52" s="2677"/>
      <c r="Q52" s="2682"/>
      <c r="R52" s="2683"/>
      <c r="S52" s="2688"/>
      <c r="T52" s="2682"/>
      <c r="U52" s="2683"/>
      <c r="V52" s="2691"/>
      <c r="W52" s="2692"/>
      <c r="X52" s="2692"/>
      <c r="Y52" s="2692"/>
      <c r="Z52" s="2692"/>
      <c r="AA52" s="2692"/>
      <c r="AB52" s="2692"/>
      <c r="AC52" s="2692"/>
      <c r="AD52" s="2692"/>
      <c r="AE52" s="2692"/>
      <c r="AF52" s="2693"/>
      <c r="AG52" s="2669" t="s">
        <v>2845</v>
      </c>
      <c r="AH52" s="2674" t="s">
        <v>2827</v>
      </c>
      <c r="AI52" s="2665"/>
      <c r="AJ52" s="2665"/>
      <c r="AK52" s="2665"/>
      <c r="AL52" s="2675"/>
      <c r="AM52" s="2665" t="s">
        <v>2828</v>
      </c>
      <c r="AN52" s="2665"/>
      <c r="AO52" s="2665"/>
      <c r="AP52" s="2665"/>
      <c r="AQ52" s="2666"/>
      <c r="AR52" s="2676"/>
      <c r="AS52" s="2676"/>
      <c r="AT52" s="2676"/>
      <c r="AU52" s="2676"/>
      <c r="AV52" s="2677"/>
      <c r="AW52" s="2682"/>
      <c r="AX52" s="2683"/>
      <c r="AY52" s="2688"/>
      <c r="AZ52" s="2682"/>
      <c r="BA52" s="2683"/>
      <c r="BB52" s="2691"/>
      <c r="BC52" s="2692"/>
      <c r="BD52" s="2692"/>
      <c r="BE52" s="2692"/>
      <c r="BF52" s="2692"/>
      <c r="BG52" s="2692"/>
      <c r="BH52" s="2692"/>
      <c r="BI52" s="2692"/>
      <c r="BJ52" s="2692"/>
      <c r="BK52" s="2692"/>
      <c r="BL52" s="2693"/>
    </row>
    <row r="53" spans="1:64" ht="26.1" customHeight="1">
      <c r="A53" s="2670"/>
      <c r="B53" s="688"/>
      <c r="C53" s="689" t="s">
        <v>506</v>
      </c>
      <c r="D53" s="2673"/>
      <c r="E53" s="2673"/>
      <c r="F53" s="690" t="s">
        <v>507</v>
      </c>
      <c r="G53" s="2700"/>
      <c r="H53" s="2700"/>
      <c r="I53" s="2700"/>
      <c r="J53" s="2700"/>
      <c r="K53" s="2701"/>
      <c r="L53" s="2678"/>
      <c r="M53" s="2678"/>
      <c r="N53" s="2678"/>
      <c r="O53" s="2678"/>
      <c r="P53" s="2679"/>
      <c r="Q53" s="2684"/>
      <c r="R53" s="2685"/>
      <c r="S53" s="2689"/>
      <c r="T53" s="2684"/>
      <c r="U53" s="2685"/>
      <c r="V53" s="2694"/>
      <c r="W53" s="2695"/>
      <c r="X53" s="2695"/>
      <c r="Y53" s="2695"/>
      <c r="Z53" s="2695"/>
      <c r="AA53" s="2695"/>
      <c r="AB53" s="2695"/>
      <c r="AC53" s="2695"/>
      <c r="AD53" s="2695"/>
      <c r="AE53" s="2695"/>
      <c r="AF53" s="2696"/>
      <c r="AG53" s="2670"/>
      <c r="AH53" s="688"/>
      <c r="AI53" s="689" t="s">
        <v>506</v>
      </c>
      <c r="AJ53" s="2673"/>
      <c r="AK53" s="2673"/>
      <c r="AL53" s="690" t="s">
        <v>507</v>
      </c>
      <c r="AM53" s="2700"/>
      <c r="AN53" s="2700"/>
      <c r="AO53" s="2700"/>
      <c r="AP53" s="2700"/>
      <c r="AQ53" s="2701"/>
      <c r="AR53" s="2678"/>
      <c r="AS53" s="2678"/>
      <c r="AT53" s="2678"/>
      <c r="AU53" s="2678"/>
      <c r="AV53" s="2679"/>
      <c r="AW53" s="2684"/>
      <c r="AX53" s="2685"/>
      <c r="AY53" s="2689"/>
      <c r="AZ53" s="2684"/>
      <c r="BA53" s="2685"/>
      <c r="BB53" s="2694"/>
      <c r="BC53" s="2695"/>
      <c r="BD53" s="2695"/>
      <c r="BE53" s="2695"/>
      <c r="BF53" s="2695"/>
      <c r="BG53" s="2695"/>
      <c r="BH53" s="2695"/>
      <c r="BI53" s="2695"/>
      <c r="BJ53" s="2695"/>
      <c r="BK53" s="2695"/>
      <c r="BL53" s="2696"/>
    </row>
    <row r="54" spans="1:64" ht="15" customHeight="1">
      <c r="A54" s="2670"/>
      <c r="B54" s="2702" t="s">
        <v>2829</v>
      </c>
      <c r="C54" s="2703"/>
      <c r="D54" s="2703"/>
      <c r="E54" s="2703"/>
      <c r="F54" s="2704"/>
      <c r="G54" s="2659" t="s">
        <v>2830</v>
      </c>
      <c r="H54" s="2660"/>
      <c r="I54" s="2660"/>
      <c r="J54" s="2660"/>
      <c r="K54" s="2661"/>
      <c r="L54" s="2678"/>
      <c r="M54" s="2678"/>
      <c r="N54" s="2678"/>
      <c r="O54" s="2678"/>
      <c r="P54" s="2679"/>
      <c r="Q54" s="2684"/>
      <c r="R54" s="2685"/>
      <c r="S54" s="2689"/>
      <c r="T54" s="2684"/>
      <c r="U54" s="2685"/>
      <c r="V54" s="2694"/>
      <c r="W54" s="2695"/>
      <c r="X54" s="2695"/>
      <c r="Y54" s="2695"/>
      <c r="Z54" s="2695"/>
      <c r="AA54" s="2695"/>
      <c r="AB54" s="2695"/>
      <c r="AC54" s="2695"/>
      <c r="AD54" s="2695"/>
      <c r="AE54" s="2695"/>
      <c r="AF54" s="2696"/>
      <c r="AG54" s="2670"/>
      <c r="AH54" s="2702" t="s">
        <v>2829</v>
      </c>
      <c r="AI54" s="2703"/>
      <c r="AJ54" s="2703"/>
      <c r="AK54" s="2703"/>
      <c r="AL54" s="2704"/>
      <c r="AM54" s="2659" t="s">
        <v>2830</v>
      </c>
      <c r="AN54" s="2660"/>
      <c r="AO54" s="2660"/>
      <c r="AP54" s="2660"/>
      <c r="AQ54" s="2661"/>
      <c r="AR54" s="2678"/>
      <c r="AS54" s="2678"/>
      <c r="AT54" s="2678"/>
      <c r="AU54" s="2678"/>
      <c r="AV54" s="2679"/>
      <c r="AW54" s="2684"/>
      <c r="AX54" s="2685"/>
      <c r="AY54" s="2689"/>
      <c r="AZ54" s="2684"/>
      <c r="BA54" s="2685"/>
      <c r="BB54" s="2694"/>
      <c r="BC54" s="2695"/>
      <c r="BD54" s="2695"/>
      <c r="BE54" s="2695"/>
      <c r="BF54" s="2695"/>
      <c r="BG54" s="2695"/>
      <c r="BH54" s="2695"/>
      <c r="BI54" s="2695"/>
      <c r="BJ54" s="2695"/>
      <c r="BK54" s="2695"/>
      <c r="BL54" s="2696"/>
    </row>
    <row r="55" spans="1:64" ht="26.1" customHeight="1" thickBot="1">
      <c r="A55" s="2671"/>
      <c r="B55" s="691"/>
      <c r="C55" s="2664" t="s">
        <v>509</v>
      </c>
      <c r="D55" s="2664"/>
      <c r="E55" s="2662"/>
      <c r="F55" s="2662"/>
      <c r="G55" s="692"/>
      <c r="H55" s="2664" t="s">
        <v>509</v>
      </c>
      <c r="I55" s="2664"/>
      <c r="J55" s="2662"/>
      <c r="K55" s="2663"/>
      <c r="L55" s="2680"/>
      <c r="M55" s="2680"/>
      <c r="N55" s="2680"/>
      <c r="O55" s="2680"/>
      <c r="P55" s="2681"/>
      <c r="Q55" s="2686"/>
      <c r="R55" s="2687"/>
      <c r="S55" s="2690"/>
      <c r="T55" s="2686"/>
      <c r="U55" s="2687"/>
      <c r="V55" s="2697"/>
      <c r="W55" s="2698"/>
      <c r="X55" s="2698"/>
      <c r="Y55" s="2698"/>
      <c r="Z55" s="2698"/>
      <c r="AA55" s="2698"/>
      <c r="AB55" s="2698"/>
      <c r="AC55" s="2698"/>
      <c r="AD55" s="2698"/>
      <c r="AE55" s="2698"/>
      <c r="AF55" s="2699"/>
      <c r="AG55" s="2671"/>
      <c r="AH55" s="691"/>
      <c r="AI55" s="2664" t="s">
        <v>509</v>
      </c>
      <c r="AJ55" s="2664"/>
      <c r="AK55" s="2662"/>
      <c r="AL55" s="2662"/>
      <c r="AM55" s="692"/>
      <c r="AN55" s="2664" t="s">
        <v>509</v>
      </c>
      <c r="AO55" s="2664"/>
      <c r="AP55" s="2662"/>
      <c r="AQ55" s="2663"/>
      <c r="AR55" s="2680"/>
      <c r="AS55" s="2680"/>
      <c r="AT55" s="2680"/>
      <c r="AU55" s="2680"/>
      <c r="AV55" s="2681"/>
      <c r="AW55" s="2686"/>
      <c r="AX55" s="2687"/>
      <c r="AY55" s="2690"/>
      <c r="AZ55" s="2686"/>
      <c r="BA55" s="2687"/>
      <c r="BB55" s="2697"/>
      <c r="BC55" s="2698"/>
      <c r="BD55" s="2698"/>
      <c r="BE55" s="2698"/>
      <c r="BF55" s="2698"/>
      <c r="BG55" s="2698"/>
      <c r="BH55" s="2698"/>
      <c r="BI55" s="2698"/>
      <c r="BJ55" s="2698"/>
      <c r="BK55" s="2698"/>
      <c r="BL55" s="2699"/>
    </row>
    <row r="56" spans="1:64" ht="15" customHeight="1">
      <c r="A56" s="2670" t="s">
        <v>2846</v>
      </c>
      <c r="B56" s="2674" t="s">
        <v>2827</v>
      </c>
      <c r="C56" s="2665"/>
      <c r="D56" s="2665"/>
      <c r="E56" s="2665"/>
      <c r="F56" s="2675"/>
      <c r="G56" s="2665" t="s">
        <v>2828</v>
      </c>
      <c r="H56" s="2665"/>
      <c r="I56" s="2665"/>
      <c r="J56" s="2665"/>
      <c r="K56" s="2666"/>
      <c r="L56" s="2676"/>
      <c r="M56" s="2676"/>
      <c r="N56" s="2676"/>
      <c r="O56" s="2676"/>
      <c r="P56" s="2677"/>
      <c r="Q56" s="2682"/>
      <c r="R56" s="2683"/>
      <c r="S56" s="2688"/>
      <c r="T56" s="2682"/>
      <c r="U56" s="2683"/>
      <c r="V56" s="2691"/>
      <c r="W56" s="2692"/>
      <c r="X56" s="2692"/>
      <c r="Y56" s="2692"/>
      <c r="Z56" s="2692"/>
      <c r="AA56" s="2692"/>
      <c r="AB56" s="2692"/>
      <c r="AC56" s="2692"/>
      <c r="AD56" s="2692"/>
      <c r="AE56" s="2692"/>
      <c r="AF56" s="2693"/>
      <c r="AG56" s="2670" t="s">
        <v>2846</v>
      </c>
      <c r="AH56" s="2674" t="s">
        <v>2827</v>
      </c>
      <c r="AI56" s="2665"/>
      <c r="AJ56" s="2665"/>
      <c r="AK56" s="2665"/>
      <c r="AL56" s="2675"/>
      <c r="AM56" s="2665" t="s">
        <v>2828</v>
      </c>
      <c r="AN56" s="2665"/>
      <c r="AO56" s="2665"/>
      <c r="AP56" s="2665"/>
      <c r="AQ56" s="2666"/>
      <c r="AR56" s="2676"/>
      <c r="AS56" s="2676"/>
      <c r="AT56" s="2676"/>
      <c r="AU56" s="2676"/>
      <c r="AV56" s="2677"/>
      <c r="AW56" s="2682"/>
      <c r="AX56" s="2683"/>
      <c r="AY56" s="2688"/>
      <c r="AZ56" s="2682"/>
      <c r="BA56" s="2683"/>
      <c r="BB56" s="2691"/>
      <c r="BC56" s="2692"/>
      <c r="BD56" s="2692"/>
      <c r="BE56" s="2692"/>
      <c r="BF56" s="2692"/>
      <c r="BG56" s="2692"/>
      <c r="BH56" s="2692"/>
      <c r="BI56" s="2692"/>
      <c r="BJ56" s="2692"/>
      <c r="BK56" s="2692"/>
      <c r="BL56" s="2693"/>
    </row>
    <row r="57" spans="1:64" ht="26.1" customHeight="1">
      <c r="A57" s="2670"/>
      <c r="B57" s="688"/>
      <c r="C57" s="689" t="s">
        <v>506</v>
      </c>
      <c r="D57" s="2673"/>
      <c r="E57" s="2673"/>
      <c r="F57" s="690" t="s">
        <v>507</v>
      </c>
      <c r="G57" s="2700"/>
      <c r="H57" s="2700"/>
      <c r="I57" s="2700"/>
      <c r="J57" s="2700"/>
      <c r="K57" s="2701"/>
      <c r="L57" s="2678"/>
      <c r="M57" s="2678"/>
      <c r="N57" s="2678"/>
      <c r="O57" s="2678"/>
      <c r="P57" s="2679"/>
      <c r="Q57" s="2684"/>
      <c r="R57" s="2685"/>
      <c r="S57" s="2689"/>
      <c r="T57" s="2684"/>
      <c r="U57" s="2685"/>
      <c r="V57" s="2694"/>
      <c r="W57" s="2695"/>
      <c r="X57" s="2695"/>
      <c r="Y57" s="2695"/>
      <c r="Z57" s="2695"/>
      <c r="AA57" s="2695"/>
      <c r="AB57" s="2695"/>
      <c r="AC57" s="2695"/>
      <c r="AD57" s="2695"/>
      <c r="AE57" s="2695"/>
      <c r="AF57" s="2696"/>
      <c r="AG57" s="2670"/>
      <c r="AH57" s="688"/>
      <c r="AI57" s="689" t="s">
        <v>506</v>
      </c>
      <c r="AJ57" s="2673"/>
      <c r="AK57" s="2673"/>
      <c r="AL57" s="690" t="s">
        <v>507</v>
      </c>
      <c r="AM57" s="2700"/>
      <c r="AN57" s="2700"/>
      <c r="AO57" s="2700"/>
      <c r="AP57" s="2700"/>
      <c r="AQ57" s="2701"/>
      <c r="AR57" s="2678"/>
      <c r="AS57" s="2678"/>
      <c r="AT57" s="2678"/>
      <c r="AU57" s="2678"/>
      <c r="AV57" s="2679"/>
      <c r="AW57" s="2684"/>
      <c r="AX57" s="2685"/>
      <c r="AY57" s="2689"/>
      <c r="AZ57" s="2684"/>
      <c r="BA57" s="2685"/>
      <c r="BB57" s="2694"/>
      <c r="BC57" s="2695"/>
      <c r="BD57" s="2695"/>
      <c r="BE57" s="2695"/>
      <c r="BF57" s="2695"/>
      <c r="BG57" s="2695"/>
      <c r="BH57" s="2695"/>
      <c r="BI57" s="2695"/>
      <c r="BJ57" s="2695"/>
      <c r="BK57" s="2695"/>
      <c r="BL57" s="2696"/>
    </row>
    <row r="58" spans="1:64" ht="15" customHeight="1">
      <c r="A58" s="2670"/>
      <c r="B58" s="2702" t="s">
        <v>2829</v>
      </c>
      <c r="C58" s="2703"/>
      <c r="D58" s="2703"/>
      <c r="E58" s="2703"/>
      <c r="F58" s="2704"/>
      <c r="G58" s="2659" t="s">
        <v>2830</v>
      </c>
      <c r="H58" s="2660"/>
      <c r="I58" s="2660"/>
      <c r="J58" s="2660"/>
      <c r="K58" s="2661"/>
      <c r="L58" s="2678"/>
      <c r="M58" s="2678"/>
      <c r="N58" s="2678"/>
      <c r="O58" s="2678"/>
      <c r="P58" s="2679"/>
      <c r="Q58" s="2684"/>
      <c r="R58" s="2685"/>
      <c r="S58" s="2689"/>
      <c r="T58" s="2684"/>
      <c r="U58" s="2685"/>
      <c r="V58" s="2694"/>
      <c r="W58" s="2695"/>
      <c r="X58" s="2695"/>
      <c r="Y58" s="2695"/>
      <c r="Z58" s="2695"/>
      <c r="AA58" s="2695"/>
      <c r="AB58" s="2695"/>
      <c r="AC58" s="2695"/>
      <c r="AD58" s="2695"/>
      <c r="AE58" s="2695"/>
      <c r="AF58" s="2696"/>
      <c r="AG58" s="2670"/>
      <c r="AH58" s="2702" t="s">
        <v>2829</v>
      </c>
      <c r="AI58" s="2703"/>
      <c r="AJ58" s="2703"/>
      <c r="AK58" s="2703"/>
      <c r="AL58" s="2704"/>
      <c r="AM58" s="2659" t="s">
        <v>2830</v>
      </c>
      <c r="AN58" s="2660"/>
      <c r="AO58" s="2660"/>
      <c r="AP58" s="2660"/>
      <c r="AQ58" s="2661"/>
      <c r="AR58" s="2678"/>
      <c r="AS58" s="2678"/>
      <c r="AT58" s="2678"/>
      <c r="AU58" s="2678"/>
      <c r="AV58" s="2679"/>
      <c r="AW58" s="2684"/>
      <c r="AX58" s="2685"/>
      <c r="AY58" s="2689"/>
      <c r="AZ58" s="2684"/>
      <c r="BA58" s="2685"/>
      <c r="BB58" s="2694"/>
      <c r="BC58" s="2695"/>
      <c r="BD58" s="2695"/>
      <c r="BE58" s="2695"/>
      <c r="BF58" s="2695"/>
      <c r="BG58" s="2695"/>
      <c r="BH58" s="2695"/>
      <c r="BI58" s="2695"/>
      <c r="BJ58" s="2695"/>
      <c r="BK58" s="2695"/>
      <c r="BL58" s="2696"/>
    </row>
    <row r="59" spans="1:64" ht="26.1" customHeight="1" thickBot="1">
      <c r="A59" s="2671"/>
      <c r="B59" s="691"/>
      <c r="C59" s="2664" t="s">
        <v>509</v>
      </c>
      <c r="D59" s="2664"/>
      <c r="E59" s="2662"/>
      <c r="F59" s="2662"/>
      <c r="G59" s="692"/>
      <c r="H59" s="2664" t="s">
        <v>509</v>
      </c>
      <c r="I59" s="2664"/>
      <c r="J59" s="2662"/>
      <c r="K59" s="2663"/>
      <c r="L59" s="2680"/>
      <c r="M59" s="2680"/>
      <c r="N59" s="2680"/>
      <c r="O59" s="2680"/>
      <c r="P59" s="2681"/>
      <c r="Q59" s="2686"/>
      <c r="R59" s="2687"/>
      <c r="S59" s="2690"/>
      <c r="T59" s="2686"/>
      <c r="U59" s="2687"/>
      <c r="V59" s="2697"/>
      <c r="W59" s="2698"/>
      <c r="X59" s="2698"/>
      <c r="Y59" s="2698"/>
      <c r="Z59" s="2698"/>
      <c r="AA59" s="2698"/>
      <c r="AB59" s="2698"/>
      <c r="AC59" s="2698"/>
      <c r="AD59" s="2698"/>
      <c r="AE59" s="2698"/>
      <c r="AF59" s="2699"/>
      <c r="AG59" s="2671"/>
      <c r="AH59" s="691"/>
      <c r="AI59" s="2664" t="s">
        <v>509</v>
      </c>
      <c r="AJ59" s="2664"/>
      <c r="AK59" s="2662"/>
      <c r="AL59" s="2662"/>
      <c r="AM59" s="692"/>
      <c r="AN59" s="2664" t="s">
        <v>509</v>
      </c>
      <c r="AO59" s="2664"/>
      <c r="AP59" s="2662"/>
      <c r="AQ59" s="2663"/>
      <c r="AR59" s="2680"/>
      <c r="AS59" s="2680"/>
      <c r="AT59" s="2680"/>
      <c r="AU59" s="2680"/>
      <c r="AV59" s="2681"/>
      <c r="AW59" s="2686"/>
      <c r="AX59" s="2687"/>
      <c r="AY59" s="2690"/>
      <c r="AZ59" s="2686"/>
      <c r="BA59" s="2687"/>
      <c r="BB59" s="2697"/>
      <c r="BC59" s="2698"/>
      <c r="BD59" s="2698"/>
      <c r="BE59" s="2698"/>
      <c r="BF59" s="2698"/>
      <c r="BG59" s="2698"/>
      <c r="BH59" s="2698"/>
      <c r="BI59" s="2698"/>
      <c r="BJ59" s="2698"/>
      <c r="BK59" s="2698"/>
      <c r="BL59" s="2699"/>
    </row>
    <row r="60" spans="1:64" ht="15" customHeight="1">
      <c r="A60" s="394"/>
      <c r="B60" s="395"/>
      <c r="C60" s="395"/>
      <c r="D60" s="395"/>
      <c r="E60" s="395"/>
      <c r="F60" s="395"/>
      <c r="G60" s="395"/>
      <c r="H60" s="395"/>
      <c r="I60" s="395"/>
      <c r="J60" s="395"/>
      <c r="K60" s="395"/>
      <c r="L60" s="391"/>
      <c r="M60" s="391"/>
      <c r="N60" s="391"/>
      <c r="O60" s="391"/>
      <c r="P60" s="391"/>
      <c r="Q60" s="389"/>
      <c r="R60" s="389"/>
      <c r="S60" s="396"/>
      <c r="T60" s="389"/>
      <c r="U60" s="389"/>
      <c r="V60" s="390"/>
      <c r="W60" s="390"/>
      <c r="X60" s="390"/>
      <c r="Y60" s="390"/>
      <c r="Z60" s="390"/>
      <c r="AA60" s="390"/>
      <c r="AB60" s="390"/>
      <c r="AC60" s="390"/>
      <c r="AD60" s="390"/>
      <c r="AE60" s="390"/>
      <c r="AF60" s="390"/>
      <c r="AG60" s="2672"/>
      <c r="AH60" s="2672"/>
      <c r="AI60" s="2672"/>
      <c r="AJ60" s="2672"/>
      <c r="AK60" s="2672"/>
      <c r="AL60" s="2672"/>
      <c r="AM60" s="2672"/>
      <c r="AN60" s="2672"/>
      <c r="AO60" s="2672"/>
      <c r="AP60" s="2672"/>
      <c r="AQ60" s="2672"/>
      <c r="AR60" s="2672"/>
      <c r="AS60" s="2672"/>
      <c r="AT60" s="2672"/>
      <c r="AU60" s="2672"/>
      <c r="AV60" s="50"/>
      <c r="AW60" s="2672"/>
      <c r="AX60" s="50"/>
      <c r="AY60" s="2672"/>
      <c r="AZ60" s="50"/>
      <c r="BA60" s="2672"/>
      <c r="BB60" s="50"/>
      <c r="BC60" s="2672"/>
      <c r="BD60" s="50"/>
      <c r="BE60" s="2672"/>
      <c r="BF60" s="50"/>
      <c r="BG60" s="2672"/>
      <c r="BH60" s="50"/>
      <c r="BI60" s="2672"/>
      <c r="BJ60" s="50"/>
      <c r="BK60" s="2672"/>
    </row>
    <row r="61" spans="1:64" ht="30" customHeight="1">
      <c r="A61" s="397"/>
      <c r="B61" s="388"/>
      <c r="C61" s="387"/>
      <c r="D61" s="393"/>
      <c r="E61" s="393"/>
      <c r="F61" s="387"/>
      <c r="G61" s="398"/>
      <c r="H61" s="398"/>
      <c r="I61" s="398"/>
      <c r="J61" s="398"/>
      <c r="K61" s="398"/>
      <c r="L61" s="391"/>
      <c r="M61" s="391"/>
      <c r="N61" s="391"/>
      <c r="O61" s="391"/>
      <c r="P61" s="391"/>
      <c r="Q61" s="389"/>
      <c r="R61" s="389"/>
      <c r="S61" s="396"/>
      <c r="T61" s="389"/>
      <c r="U61" s="389"/>
      <c r="V61" s="390"/>
      <c r="W61" s="390"/>
      <c r="X61" s="390"/>
      <c r="Y61" s="390"/>
      <c r="Z61" s="390"/>
      <c r="AA61" s="390"/>
      <c r="AB61" s="390"/>
      <c r="AC61" s="390"/>
      <c r="AD61" s="390"/>
      <c r="AE61" s="390"/>
      <c r="AF61" s="390"/>
      <c r="AG61" s="2672"/>
      <c r="AH61" s="2672"/>
      <c r="AI61" s="2672"/>
      <c r="AJ61" s="2672"/>
      <c r="AK61" s="2672"/>
      <c r="AL61" s="2672"/>
      <c r="AM61" s="2672"/>
      <c r="AN61" s="2672"/>
      <c r="AO61" s="2672"/>
      <c r="AP61" s="2672"/>
      <c r="AQ61" s="2672"/>
      <c r="AR61" s="2672"/>
      <c r="AS61" s="2672"/>
      <c r="AT61" s="2672"/>
      <c r="AU61" s="2672"/>
      <c r="AV61" s="51"/>
      <c r="AW61" s="2672"/>
      <c r="AX61" s="51"/>
      <c r="AY61" s="2672"/>
      <c r="AZ61" s="51"/>
      <c r="BA61" s="2672"/>
      <c r="BB61" s="51"/>
      <c r="BC61" s="2672"/>
      <c r="BD61" s="51"/>
      <c r="BE61" s="2672"/>
      <c r="BF61" s="51"/>
      <c r="BG61" s="2672"/>
      <c r="BH61" s="51"/>
      <c r="BI61" s="2672"/>
      <c r="BJ61" s="51"/>
      <c r="BK61" s="2672"/>
    </row>
    <row r="62" spans="1:64" ht="15" customHeight="1">
      <c r="A62" s="397"/>
      <c r="B62" s="399"/>
      <c r="C62" s="399"/>
      <c r="D62" s="399"/>
      <c r="E62" s="399"/>
      <c r="F62" s="399"/>
      <c r="G62" s="400"/>
      <c r="H62" s="400"/>
      <c r="I62" s="400"/>
      <c r="J62" s="400"/>
      <c r="K62" s="400"/>
      <c r="L62" s="391"/>
      <c r="M62" s="391"/>
      <c r="N62" s="391"/>
      <c r="O62" s="391"/>
      <c r="P62" s="391"/>
      <c r="Q62" s="389"/>
      <c r="R62" s="389"/>
      <c r="S62" s="396"/>
      <c r="T62" s="389"/>
      <c r="U62" s="389"/>
      <c r="V62" s="390"/>
      <c r="W62" s="390"/>
      <c r="X62" s="390"/>
      <c r="Y62" s="390"/>
      <c r="Z62" s="390"/>
      <c r="AA62" s="390"/>
      <c r="AB62" s="390"/>
      <c r="AC62" s="390"/>
      <c r="AD62" s="390"/>
      <c r="AE62" s="390"/>
      <c r="AF62" s="390"/>
    </row>
    <row r="63" spans="1:64" ht="20.100000000000001" customHeight="1">
      <c r="A63" s="397"/>
      <c r="B63" s="392"/>
      <c r="C63" s="401"/>
      <c r="D63" s="401"/>
      <c r="E63" s="402"/>
      <c r="F63" s="402"/>
      <c r="G63" s="392"/>
      <c r="H63" s="401"/>
      <c r="I63" s="401"/>
      <c r="J63" s="402"/>
      <c r="K63" s="402"/>
      <c r="L63" s="391"/>
      <c r="M63" s="391"/>
      <c r="N63" s="391"/>
      <c r="O63" s="391"/>
      <c r="P63" s="391"/>
      <c r="Q63" s="389"/>
      <c r="R63" s="389"/>
      <c r="S63" s="396"/>
      <c r="T63" s="389"/>
      <c r="U63" s="389"/>
      <c r="V63" s="390"/>
      <c r="W63" s="390"/>
      <c r="X63" s="390"/>
      <c r="Y63" s="390"/>
      <c r="Z63" s="390"/>
      <c r="AA63" s="390"/>
      <c r="AB63" s="390"/>
      <c r="AC63" s="390"/>
      <c r="AD63" s="390"/>
      <c r="AE63" s="390"/>
      <c r="AF63" s="390"/>
    </row>
    <row r="64" spans="1:64" ht="15" customHeight="1">
      <c r="A64" s="394"/>
      <c r="B64" s="395"/>
      <c r="C64" s="395"/>
      <c r="D64" s="395"/>
      <c r="E64" s="395"/>
      <c r="F64" s="395"/>
      <c r="G64" s="395"/>
      <c r="H64" s="395"/>
      <c r="I64" s="395"/>
      <c r="J64" s="395"/>
      <c r="K64" s="395"/>
      <c r="L64" s="391"/>
      <c r="M64" s="391"/>
      <c r="N64" s="391"/>
      <c r="O64" s="391"/>
      <c r="P64" s="391"/>
      <c r="Q64" s="389"/>
      <c r="R64" s="389"/>
      <c r="S64" s="396"/>
      <c r="T64" s="389"/>
      <c r="U64" s="389"/>
      <c r="V64" s="390"/>
      <c r="W64" s="390"/>
      <c r="X64" s="390"/>
      <c r="Y64" s="390"/>
      <c r="Z64" s="390"/>
      <c r="AA64" s="390"/>
      <c r="AB64" s="390"/>
      <c r="AC64" s="390"/>
      <c r="AD64" s="390"/>
      <c r="AE64" s="390"/>
      <c r="AF64" s="390"/>
    </row>
    <row r="65" spans="1:32" ht="20.100000000000001" customHeight="1">
      <c r="A65" s="397"/>
      <c r="B65" s="388"/>
      <c r="C65" s="387"/>
      <c r="D65" s="393"/>
      <c r="E65" s="393"/>
      <c r="F65" s="387"/>
      <c r="G65" s="398"/>
      <c r="H65" s="398"/>
      <c r="I65" s="398"/>
      <c r="J65" s="398"/>
      <c r="K65" s="398"/>
      <c r="L65" s="391"/>
      <c r="M65" s="391"/>
      <c r="N65" s="391"/>
      <c r="O65" s="391"/>
      <c r="P65" s="391"/>
      <c r="Q65" s="389"/>
      <c r="R65" s="389"/>
      <c r="S65" s="396"/>
      <c r="T65" s="389"/>
      <c r="U65" s="389"/>
      <c r="V65" s="390"/>
      <c r="W65" s="390"/>
      <c r="X65" s="390"/>
      <c r="Y65" s="390"/>
      <c r="Z65" s="390"/>
      <c r="AA65" s="390"/>
      <c r="AB65" s="390"/>
      <c r="AC65" s="390"/>
      <c r="AD65" s="390"/>
      <c r="AE65" s="390"/>
      <c r="AF65" s="390"/>
    </row>
    <row r="66" spans="1:32" ht="15" customHeight="1">
      <c r="A66" s="397"/>
      <c r="B66" s="399"/>
      <c r="C66" s="399"/>
      <c r="D66" s="399"/>
      <c r="E66" s="399"/>
      <c r="F66" s="399"/>
      <c r="G66" s="400"/>
      <c r="H66" s="400"/>
      <c r="I66" s="400"/>
      <c r="J66" s="400"/>
      <c r="K66" s="400"/>
      <c r="L66" s="391"/>
      <c r="M66" s="391"/>
      <c r="N66" s="391"/>
      <c r="O66" s="391"/>
      <c r="P66" s="391"/>
      <c r="Q66" s="389"/>
      <c r="R66" s="389"/>
      <c r="S66" s="396"/>
      <c r="T66" s="389"/>
      <c r="U66" s="389"/>
      <c r="V66" s="390"/>
      <c r="W66" s="390"/>
      <c r="X66" s="390"/>
      <c r="Y66" s="390"/>
      <c r="Z66" s="390"/>
      <c r="AA66" s="390"/>
      <c r="AB66" s="390"/>
      <c r="AC66" s="390"/>
      <c r="AD66" s="390"/>
      <c r="AE66" s="390"/>
      <c r="AF66" s="390"/>
    </row>
    <row r="67" spans="1:32" ht="21" customHeight="1">
      <c r="A67" s="397"/>
      <c r="B67" s="392"/>
      <c r="C67" s="401"/>
      <c r="D67" s="401"/>
      <c r="E67" s="402"/>
      <c r="F67" s="402"/>
      <c r="G67" s="392"/>
      <c r="H67" s="401"/>
      <c r="I67" s="401"/>
      <c r="J67" s="402"/>
      <c r="K67" s="402"/>
      <c r="L67" s="391"/>
      <c r="M67" s="391"/>
      <c r="N67" s="391"/>
      <c r="O67" s="391"/>
      <c r="P67" s="391"/>
      <c r="Q67" s="389"/>
      <c r="R67" s="389"/>
      <c r="S67" s="396"/>
      <c r="T67" s="389"/>
      <c r="U67" s="389"/>
      <c r="V67" s="390"/>
      <c r="W67" s="390"/>
      <c r="X67" s="390"/>
      <c r="Y67" s="390"/>
      <c r="Z67" s="390"/>
      <c r="AA67" s="390"/>
      <c r="AB67" s="390"/>
      <c r="AC67" s="390"/>
      <c r="AD67" s="390"/>
      <c r="AE67" s="390"/>
      <c r="AF67" s="390"/>
    </row>
    <row r="68" spans="1:32" ht="15" customHeight="1">
      <c r="A68" s="394"/>
      <c r="B68" s="395"/>
      <c r="C68" s="395"/>
      <c r="D68" s="395"/>
      <c r="E68" s="395"/>
      <c r="F68" s="395"/>
      <c r="G68" s="395"/>
      <c r="H68" s="395"/>
      <c r="I68" s="395"/>
      <c r="J68" s="395"/>
      <c r="K68" s="395"/>
      <c r="L68" s="391"/>
      <c r="M68" s="391"/>
      <c r="N68" s="391"/>
      <c r="O68" s="391"/>
      <c r="P68" s="391"/>
      <c r="Q68" s="389"/>
      <c r="R68" s="389"/>
      <c r="S68" s="396"/>
      <c r="T68" s="389"/>
      <c r="U68" s="389"/>
      <c r="V68" s="390"/>
      <c r="W68" s="390"/>
      <c r="X68" s="390"/>
      <c r="Y68" s="390"/>
      <c r="Z68" s="390"/>
      <c r="AA68" s="390"/>
      <c r="AB68" s="390"/>
      <c r="AC68" s="390"/>
      <c r="AD68" s="390"/>
      <c r="AE68" s="390"/>
      <c r="AF68" s="390"/>
    </row>
    <row r="69" spans="1:32" ht="21" customHeight="1">
      <c r="A69" s="397"/>
      <c r="B69" s="388"/>
      <c r="C69" s="387"/>
      <c r="D69" s="393"/>
      <c r="E69" s="393"/>
      <c r="F69" s="387"/>
      <c r="G69" s="398"/>
      <c r="H69" s="398"/>
      <c r="I69" s="398"/>
      <c r="J69" s="398"/>
      <c r="K69" s="398"/>
      <c r="L69" s="391"/>
      <c r="M69" s="391"/>
      <c r="N69" s="391"/>
      <c r="O69" s="391"/>
      <c r="P69" s="391"/>
      <c r="Q69" s="389"/>
      <c r="R69" s="389"/>
      <c r="S69" s="396"/>
      <c r="T69" s="389"/>
      <c r="U69" s="389"/>
      <c r="V69" s="390"/>
      <c r="W69" s="390"/>
      <c r="X69" s="390"/>
      <c r="Y69" s="390"/>
      <c r="Z69" s="390"/>
      <c r="AA69" s="390"/>
      <c r="AB69" s="390"/>
      <c r="AC69" s="390"/>
      <c r="AD69" s="390"/>
      <c r="AE69" s="390"/>
      <c r="AF69" s="390"/>
    </row>
    <row r="70" spans="1:32" ht="15" customHeight="1">
      <c r="A70" s="397"/>
      <c r="B70" s="399"/>
      <c r="C70" s="399"/>
      <c r="D70" s="399"/>
      <c r="E70" s="399"/>
      <c r="F70" s="399"/>
      <c r="G70" s="400"/>
      <c r="H70" s="400"/>
      <c r="I70" s="400"/>
      <c r="J70" s="400"/>
      <c r="K70" s="400"/>
      <c r="L70" s="391"/>
      <c r="M70" s="391"/>
      <c r="N70" s="391"/>
      <c r="O70" s="391"/>
      <c r="P70" s="391"/>
      <c r="Q70" s="389"/>
      <c r="R70" s="389"/>
      <c r="S70" s="396"/>
      <c r="T70" s="389"/>
      <c r="U70" s="389"/>
      <c r="V70" s="390"/>
      <c r="W70" s="390"/>
      <c r="X70" s="390"/>
      <c r="Y70" s="390"/>
      <c r="Z70" s="390"/>
      <c r="AA70" s="390"/>
      <c r="AB70" s="390"/>
      <c r="AC70" s="390"/>
      <c r="AD70" s="390"/>
      <c r="AE70" s="390"/>
      <c r="AF70" s="390"/>
    </row>
    <row r="71" spans="1:32" ht="24">
      <c r="A71" s="397"/>
      <c r="B71" s="392"/>
      <c r="C71" s="401"/>
      <c r="D71" s="401"/>
      <c r="E71" s="402"/>
      <c r="F71" s="402"/>
      <c r="G71" s="392"/>
      <c r="H71" s="401"/>
      <c r="I71" s="401"/>
      <c r="J71" s="402"/>
      <c r="K71" s="402"/>
      <c r="L71" s="391"/>
      <c r="M71" s="391"/>
      <c r="N71" s="391"/>
      <c r="O71" s="391"/>
      <c r="P71" s="391"/>
      <c r="Q71" s="389"/>
      <c r="R71" s="389"/>
      <c r="S71" s="396"/>
      <c r="T71" s="389"/>
      <c r="U71" s="389"/>
      <c r="V71" s="390"/>
      <c r="W71" s="390"/>
      <c r="X71" s="390"/>
      <c r="Y71" s="390"/>
      <c r="Z71" s="390"/>
      <c r="AA71" s="390"/>
      <c r="AB71" s="390"/>
      <c r="AC71" s="390"/>
      <c r="AD71" s="390"/>
      <c r="AE71" s="390"/>
      <c r="AF71" s="390"/>
    </row>
    <row r="72" spans="1:32" ht="15" customHeight="1">
      <c r="A72" s="394"/>
      <c r="B72" s="395"/>
      <c r="C72" s="395"/>
      <c r="D72" s="395"/>
      <c r="E72" s="395"/>
      <c r="F72" s="395"/>
      <c r="G72" s="395"/>
      <c r="H72" s="395"/>
      <c r="I72" s="395"/>
      <c r="J72" s="395"/>
      <c r="K72" s="395"/>
      <c r="L72" s="391"/>
      <c r="M72" s="391"/>
      <c r="N72" s="391"/>
      <c r="O72" s="391"/>
      <c r="P72" s="391"/>
      <c r="Q72" s="389"/>
      <c r="R72" s="389"/>
      <c r="S72" s="396"/>
      <c r="T72" s="389"/>
      <c r="U72" s="389"/>
      <c r="V72" s="390"/>
      <c r="W72" s="390"/>
      <c r="X72" s="390"/>
      <c r="Y72" s="390"/>
      <c r="Z72" s="390"/>
      <c r="AA72" s="390"/>
      <c r="AB72" s="390"/>
      <c r="AC72" s="390"/>
      <c r="AD72" s="390"/>
      <c r="AE72" s="390"/>
      <c r="AF72" s="390"/>
    </row>
    <row r="73" spans="1:32" ht="21" customHeight="1">
      <c r="A73" s="397"/>
      <c r="B73" s="388"/>
      <c r="C73" s="387"/>
      <c r="D73" s="393"/>
      <c r="E73" s="393"/>
      <c r="F73" s="387"/>
      <c r="G73" s="398"/>
      <c r="H73" s="398"/>
      <c r="I73" s="398"/>
      <c r="J73" s="398"/>
      <c r="K73" s="398"/>
      <c r="L73" s="391"/>
      <c r="M73" s="391"/>
      <c r="N73" s="391"/>
      <c r="O73" s="391"/>
      <c r="P73" s="391"/>
      <c r="Q73" s="389"/>
      <c r="R73" s="389"/>
      <c r="S73" s="396"/>
      <c r="T73" s="389"/>
      <c r="U73" s="389"/>
      <c r="V73" s="390"/>
      <c r="W73" s="390"/>
      <c r="X73" s="390"/>
      <c r="Y73" s="390"/>
      <c r="Z73" s="390"/>
      <c r="AA73" s="390"/>
      <c r="AB73" s="390"/>
      <c r="AC73" s="390"/>
      <c r="AD73" s="390"/>
      <c r="AE73" s="390"/>
      <c r="AF73" s="390"/>
    </row>
    <row r="74" spans="1:32" ht="15" customHeight="1">
      <c r="A74" s="397"/>
      <c r="B74" s="399"/>
      <c r="C74" s="399"/>
      <c r="D74" s="399"/>
      <c r="E74" s="399"/>
      <c r="F74" s="399"/>
      <c r="G74" s="400"/>
      <c r="H74" s="400"/>
      <c r="I74" s="400"/>
      <c r="J74" s="400"/>
      <c r="K74" s="400"/>
      <c r="L74" s="391"/>
      <c r="M74" s="391"/>
      <c r="N74" s="391"/>
      <c r="O74" s="391"/>
      <c r="P74" s="391"/>
      <c r="Q74" s="389"/>
      <c r="R74" s="389"/>
      <c r="S74" s="396"/>
      <c r="T74" s="389"/>
      <c r="U74" s="389"/>
      <c r="V74" s="390"/>
      <c r="W74" s="390"/>
      <c r="X74" s="390"/>
      <c r="Y74" s="390"/>
      <c r="Z74" s="390"/>
      <c r="AA74" s="390"/>
      <c r="AB74" s="390"/>
      <c r="AC74" s="390"/>
      <c r="AD74" s="390"/>
      <c r="AE74" s="390"/>
      <c r="AF74" s="390"/>
    </row>
    <row r="75" spans="1:32" ht="24">
      <c r="A75" s="397"/>
      <c r="B75" s="392"/>
      <c r="C75" s="401"/>
      <c r="D75" s="401"/>
      <c r="E75" s="402"/>
      <c r="F75" s="402"/>
      <c r="G75" s="392"/>
      <c r="H75" s="401"/>
      <c r="I75" s="401"/>
      <c r="J75" s="402"/>
      <c r="K75" s="402"/>
      <c r="L75" s="391"/>
      <c r="M75" s="391"/>
      <c r="N75" s="391"/>
      <c r="O75" s="391"/>
      <c r="P75" s="391"/>
      <c r="Q75" s="389"/>
      <c r="R75" s="389"/>
      <c r="S75" s="396"/>
      <c r="T75" s="389"/>
      <c r="U75" s="389"/>
      <c r="V75" s="390"/>
      <c r="W75" s="390"/>
      <c r="X75" s="390"/>
      <c r="Y75" s="390"/>
      <c r="Z75" s="390"/>
      <c r="AA75" s="390"/>
      <c r="AB75" s="390"/>
      <c r="AC75" s="390"/>
      <c r="AD75" s="390"/>
      <c r="AE75" s="390"/>
      <c r="AF75" s="390"/>
    </row>
    <row r="76" spans="1:32" ht="15" customHeight="1">
      <c r="A76" s="394"/>
      <c r="B76" s="395"/>
      <c r="C76" s="395"/>
      <c r="D76" s="395"/>
      <c r="E76" s="395"/>
      <c r="F76" s="395"/>
      <c r="G76" s="395"/>
      <c r="H76" s="395"/>
      <c r="I76" s="395"/>
      <c r="J76" s="395"/>
      <c r="K76" s="395"/>
      <c r="L76" s="391"/>
      <c r="M76" s="391"/>
      <c r="N76" s="391"/>
      <c r="O76" s="391"/>
      <c r="P76" s="391"/>
      <c r="Q76" s="389"/>
      <c r="R76" s="389"/>
      <c r="S76" s="396"/>
      <c r="T76" s="389"/>
      <c r="U76" s="389"/>
      <c r="V76" s="390"/>
      <c r="W76" s="390"/>
      <c r="X76" s="390"/>
      <c r="Y76" s="390"/>
      <c r="Z76" s="390"/>
      <c r="AA76" s="390"/>
      <c r="AB76" s="390"/>
      <c r="AC76" s="390"/>
      <c r="AD76" s="390"/>
      <c r="AE76" s="390"/>
      <c r="AF76" s="390"/>
    </row>
    <row r="77" spans="1:32" ht="21" customHeight="1">
      <c r="A77" s="397"/>
      <c r="B77" s="388"/>
      <c r="C77" s="387"/>
      <c r="D77" s="393"/>
      <c r="E77" s="393"/>
      <c r="F77" s="387"/>
      <c r="G77" s="398"/>
      <c r="H77" s="398"/>
      <c r="I77" s="398"/>
      <c r="J77" s="398"/>
      <c r="K77" s="398"/>
      <c r="L77" s="391"/>
      <c r="M77" s="391"/>
      <c r="N77" s="391"/>
      <c r="O77" s="391"/>
      <c r="P77" s="391"/>
      <c r="Q77" s="389"/>
      <c r="R77" s="389"/>
      <c r="S77" s="396"/>
      <c r="T77" s="389"/>
      <c r="U77" s="389"/>
      <c r="V77" s="390"/>
      <c r="W77" s="390"/>
      <c r="X77" s="390"/>
      <c r="Y77" s="390"/>
      <c r="Z77" s="390"/>
      <c r="AA77" s="390"/>
      <c r="AB77" s="390"/>
      <c r="AC77" s="390"/>
      <c r="AD77" s="390"/>
      <c r="AE77" s="390"/>
      <c r="AF77" s="390"/>
    </row>
    <row r="78" spans="1:32" ht="15" customHeight="1">
      <c r="A78" s="397"/>
      <c r="B78" s="399"/>
      <c r="C78" s="399"/>
      <c r="D78" s="399"/>
      <c r="E78" s="399"/>
      <c r="F78" s="399"/>
      <c r="G78" s="400"/>
      <c r="H78" s="400"/>
      <c r="I78" s="400"/>
      <c r="J78" s="400"/>
      <c r="K78" s="400"/>
      <c r="L78" s="391"/>
      <c r="M78" s="391"/>
      <c r="N78" s="391"/>
      <c r="O78" s="391"/>
      <c r="P78" s="391"/>
      <c r="Q78" s="389"/>
      <c r="R78" s="389"/>
      <c r="S78" s="396"/>
      <c r="T78" s="389"/>
      <c r="U78" s="389"/>
      <c r="V78" s="390"/>
      <c r="W78" s="390"/>
      <c r="X78" s="390"/>
      <c r="Y78" s="390"/>
      <c r="Z78" s="390"/>
      <c r="AA78" s="390"/>
      <c r="AB78" s="390"/>
      <c r="AC78" s="390"/>
      <c r="AD78" s="390"/>
      <c r="AE78" s="390"/>
      <c r="AF78" s="390"/>
    </row>
    <row r="79" spans="1:32" ht="24">
      <c r="A79" s="397"/>
      <c r="B79" s="392"/>
      <c r="C79" s="401"/>
      <c r="D79" s="401"/>
      <c r="E79" s="402"/>
      <c r="F79" s="402"/>
      <c r="G79" s="392"/>
      <c r="H79" s="401"/>
      <c r="I79" s="401"/>
      <c r="J79" s="402"/>
      <c r="K79" s="402"/>
      <c r="L79" s="391"/>
      <c r="M79" s="391"/>
      <c r="N79" s="391"/>
      <c r="O79" s="391"/>
      <c r="P79" s="391"/>
      <c r="Q79" s="389"/>
      <c r="R79" s="389"/>
      <c r="S79" s="396"/>
      <c r="T79" s="389"/>
      <c r="U79" s="389"/>
      <c r="V79" s="390"/>
      <c r="W79" s="390"/>
      <c r="X79" s="390"/>
      <c r="Y79" s="390"/>
      <c r="Z79" s="390"/>
      <c r="AA79" s="390"/>
      <c r="AB79" s="390"/>
      <c r="AC79" s="390"/>
      <c r="AD79" s="390"/>
      <c r="AE79" s="390"/>
      <c r="AF79" s="390"/>
    </row>
    <row r="80" spans="1:32">
      <c r="A80" s="366"/>
      <c r="B80" s="403"/>
      <c r="C80" s="366"/>
      <c r="D80" s="366"/>
      <c r="E80" s="366"/>
      <c r="F80" s="403"/>
      <c r="G80" s="366"/>
      <c r="H80" s="366"/>
      <c r="I80" s="366"/>
      <c r="J80" s="366"/>
      <c r="K80" s="366"/>
      <c r="L80" s="404"/>
      <c r="M80" s="366"/>
      <c r="N80" s="366"/>
      <c r="O80" s="366"/>
      <c r="P80" s="366"/>
      <c r="Q80" s="366"/>
      <c r="R80" s="366"/>
      <c r="S80" s="366"/>
      <c r="T80" s="366"/>
      <c r="U80" s="366"/>
      <c r="V80" s="366"/>
      <c r="W80" s="366"/>
      <c r="X80" s="366"/>
      <c r="Y80" s="366"/>
      <c r="Z80" s="366"/>
      <c r="AA80" s="366"/>
      <c r="AB80" s="366"/>
      <c r="AC80" s="366"/>
      <c r="AD80" s="366"/>
      <c r="AE80" s="366"/>
      <c r="AF80" s="366"/>
    </row>
  </sheetData>
  <sheetProtection algorithmName="SHA-512" hashValue="ztsXxv373EKhfHzA9UB+GIGGPCXYLu38xg7+ibOG3XTltKh2UT7m4wYLEwJCYxIJSwdPaIykjLGJCsvuwv7N3w==" saltValue="aH+QFZEAn56M1Z22ig3Q0A==" spinCount="100000" sheet="1" selectLockedCells="1"/>
  <dataConsolidate/>
  <mergeCells count="386">
    <mergeCell ref="AH56:AL56"/>
    <mergeCell ref="AM56:AQ56"/>
    <mergeCell ref="AR56:AV59"/>
    <mergeCell ref="AW56:AX59"/>
    <mergeCell ref="AY56:AY59"/>
    <mergeCell ref="AZ56:BA59"/>
    <mergeCell ref="BB56:BL59"/>
    <mergeCell ref="AJ57:AK57"/>
    <mergeCell ref="AM57:AQ57"/>
    <mergeCell ref="AH58:AL58"/>
    <mergeCell ref="AM58:AQ58"/>
    <mergeCell ref="AI59:AJ59"/>
    <mergeCell ref="AK59:AL59"/>
    <mergeCell ref="AN59:AO59"/>
    <mergeCell ref="AP59:AQ59"/>
    <mergeCell ref="AG48:AG51"/>
    <mergeCell ref="AH48:AL48"/>
    <mergeCell ref="AM48:AQ48"/>
    <mergeCell ref="AR48:AV51"/>
    <mergeCell ref="AW48:AX51"/>
    <mergeCell ref="AY48:AY51"/>
    <mergeCell ref="AZ48:BA51"/>
    <mergeCell ref="BB48:BL51"/>
    <mergeCell ref="AM49:AQ49"/>
    <mergeCell ref="AH50:AL50"/>
    <mergeCell ref="AM50:AQ50"/>
    <mergeCell ref="AI51:AJ51"/>
    <mergeCell ref="AK51:AL51"/>
    <mergeCell ref="AN51:AO51"/>
    <mergeCell ref="AP51:AQ51"/>
    <mergeCell ref="AJ49:AK49"/>
    <mergeCell ref="AG44:AG47"/>
    <mergeCell ref="AH44:AL44"/>
    <mergeCell ref="AM44:AQ44"/>
    <mergeCell ref="AR44:AV47"/>
    <mergeCell ref="AW44:AX47"/>
    <mergeCell ref="AY44:AY47"/>
    <mergeCell ref="AZ44:BA47"/>
    <mergeCell ref="BB44:BL47"/>
    <mergeCell ref="AM45:AQ45"/>
    <mergeCell ref="AH46:AL46"/>
    <mergeCell ref="AM46:AQ46"/>
    <mergeCell ref="AI47:AJ47"/>
    <mergeCell ref="AK47:AL47"/>
    <mergeCell ref="AN47:AO47"/>
    <mergeCell ref="AP47:AQ47"/>
    <mergeCell ref="AJ45:AK45"/>
    <mergeCell ref="AW37:AY37"/>
    <mergeCell ref="AG38:AJ38"/>
    <mergeCell ref="AW38:AX38"/>
    <mergeCell ref="AZ38:BL38"/>
    <mergeCell ref="AG39:AQ39"/>
    <mergeCell ref="AR39:AV39"/>
    <mergeCell ref="AW39:AX39"/>
    <mergeCell ref="AZ39:BA39"/>
    <mergeCell ref="BB39:BL39"/>
    <mergeCell ref="AY36:AZ36"/>
    <mergeCell ref="BC37:BD37"/>
    <mergeCell ref="AG34:BL35"/>
    <mergeCell ref="AH4:BA4"/>
    <mergeCell ref="AH5:BA5"/>
    <mergeCell ref="AH6:BA6"/>
    <mergeCell ref="AH7:BA7"/>
    <mergeCell ref="AH8:BA8"/>
    <mergeCell ref="AG3:AO3"/>
    <mergeCell ref="AG30:AG33"/>
    <mergeCell ref="AH30:AL30"/>
    <mergeCell ref="AM30:AQ30"/>
    <mergeCell ref="AR30:AV33"/>
    <mergeCell ref="AW30:AX33"/>
    <mergeCell ref="AY30:AY33"/>
    <mergeCell ref="AZ30:BA33"/>
    <mergeCell ref="BB30:BL33"/>
    <mergeCell ref="AJ31:AK31"/>
    <mergeCell ref="AM31:AQ31"/>
    <mergeCell ref="AH32:AL32"/>
    <mergeCell ref="AM32:AQ32"/>
    <mergeCell ref="AI33:AJ33"/>
    <mergeCell ref="AK33:AL33"/>
    <mergeCell ref="AN33:AO33"/>
    <mergeCell ref="AP33:AQ33"/>
    <mergeCell ref="AG26:AG29"/>
    <mergeCell ref="AH26:AL26"/>
    <mergeCell ref="AM26:AQ26"/>
    <mergeCell ref="AR26:AV29"/>
    <mergeCell ref="AW26:AX29"/>
    <mergeCell ref="AY26:AY29"/>
    <mergeCell ref="AZ26:BA29"/>
    <mergeCell ref="BB26:BL29"/>
    <mergeCell ref="AJ27:AK27"/>
    <mergeCell ref="AM27:AQ27"/>
    <mergeCell ref="AH28:AL28"/>
    <mergeCell ref="AM28:AQ28"/>
    <mergeCell ref="AI29:AJ29"/>
    <mergeCell ref="AK29:AL29"/>
    <mergeCell ref="AN29:AO29"/>
    <mergeCell ref="AP29:AQ29"/>
    <mergeCell ref="AG22:AG25"/>
    <mergeCell ref="AH22:AL22"/>
    <mergeCell ref="AM22:AQ22"/>
    <mergeCell ref="AR22:AV25"/>
    <mergeCell ref="AW22:AX25"/>
    <mergeCell ref="AY22:AY25"/>
    <mergeCell ref="AZ22:BA25"/>
    <mergeCell ref="BB22:BL25"/>
    <mergeCell ref="AM23:AQ23"/>
    <mergeCell ref="AH24:AL24"/>
    <mergeCell ref="AM24:AQ24"/>
    <mergeCell ref="AI25:AJ25"/>
    <mergeCell ref="AK25:AL25"/>
    <mergeCell ref="AN25:AO25"/>
    <mergeCell ref="AP25:AQ25"/>
    <mergeCell ref="AJ23:AK23"/>
    <mergeCell ref="AR18:AV21"/>
    <mergeCell ref="AW18:AX21"/>
    <mergeCell ref="AY18:AY21"/>
    <mergeCell ref="AZ18:BA21"/>
    <mergeCell ref="BB18:BL21"/>
    <mergeCell ref="AM19:AQ19"/>
    <mergeCell ref="AH20:AL20"/>
    <mergeCell ref="AM20:AQ20"/>
    <mergeCell ref="AI21:AJ21"/>
    <mergeCell ref="AK21:AL21"/>
    <mergeCell ref="AN21:AO21"/>
    <mergeCell ref="AP21:AQ21"/>
    <mergeCell ref="AJ15:AK15"/>
    <mergeCell ref="AM15:AQ15"/>
    <mergeCell ref="AH16:AL16"/>
    <mergeCell ref="AM16:AQ16"/>
    <mergeCell ref="AI17:AJ17"/>
    <mergeCell ref="AK17:AL17"/>
    <mergeCell ref="AN17:AO17"/>
    <mergeCell ref="AP17:AQ17"/>
    <mergeCell ref="AG18:AG21"/>
    <mergeCell ref="AH18:AL18"/>
    <mergeCell ref="AM18:AQ18"/>
    <mergeCell ref="AG12:AJ12"/>
    <mergeCell ref="AW12:AX12"/>
    <mergeCell ref="AZ12:BL12"/>
    <mergeCell ref="AG13:AQ13"/>
    <mergeCell ref="AR13:AV13"/>
    <mergeCell ref="AW13:AX13"/>
    <mergeCell ref="AZ13:BA13"/>
    <mergeCell ref="BB13:BL13"/>
    <mergeCell ref="A56:A59"/>
    <mergeCell ref="B56:F56"/>
    <mergeCell ref="L56:P59"/>
    <mergeCell ref="Q56:R59"/>
    <mergeCell ref="S56:S59"/>
    <mergeCell ref="T56:U59"/>
    <mergeCell ref="V56:AF59"/>
    <mergeCell ref="D57:E57"/>
    <mergeCell ref="G57:K57"/>
    <mergeCell ref="B58:F58"/>
    <mergeCell ref="A52:A55"/>
    <mergeCell ref="B52:F52"/>
    <mergeCell ref="L52:P55"/>
    <mergeCell ref="Q52:R55"/>
    <mergeCell ref="S52:S55"/>
    <mergeCell ref="T52:U55"/>
    <mergeCell ref="V52:AF55"/>
    <mergeCell ref="D53:E53"/>
    <mergeCell ref="G53:K53"/>
    <mergeCell ref="B54:F54"/>
    <mergeCell ref="A48:A51"/>
    <mergeCell ref="B48:F48"/>
    <mergeCell ref="L48:P51"/>
    <mergeCell ref="Q48:R51"/>
    <mergeCell ref="S48:S51"/>
    <mergeCell ref="T48:U51"/>
    <mergeCell ref="V48:AF51"/>
    <mergeCell ref="D49:E49"/>
    <mergeCell ref="G49:K49"/>
    <mergeCell ref="B50:F50"/>
    <mergeCell ref="G48:K48"/>
    <mergeCell ref="H55:I55"/>
    <mergeCell ref="J55:K55"/>
    <mergeCell ref="J51:K51"/>
    <mergeCell ref="G54:K54"/>
    <mergeCell ref="G52:K52"/>
    <mergeCell ref="G50:K50"/>
    <mergeCell ref="H51:I51"/>
    <mergeCell ref="S30:S33"/>
    <mergeCell ref="T30:U33"/>
    <mergeCell ref="A44:A47"/>
    <mergeCell ref="B44:F44"/>
    <mergeCell ref="L44:P47"/>
    <mergeCell ref="Q44:R47"/>
    <mergeCell ref="S44:S47"/>
    <mergeCell ref="T44:U47"/>
    <mergeCell ref="V44:AF47"/>
    <mergeCell ref="D45:E45"/>
    <mergeCell ref="G45:K45"/>
    <mergeCell ref="B46:F46"/>
    <mergeCell ref="H33:I33"/>
    <mergeCell ref="J33:K33"/>
    <mergeCell ref="A34:AF35"/>
    <mergeCell ref="V30:AF33"/>
    <mergeCell ref="D31:E31"/>
    <mergeCell ref="G31:K31"/>
    <mergeCell ref="B32:F32"/>
    <mergeCell ref="G32:K32"/>
    <mergeCell ref="C33:D33"/>
    <mergeCell ref="E33:F33"/>
    <mergeCell ref="H47:I47"/>
    <mergeCell ref="J47:K47"/>
    <mergeCell ref="C7:X7"/>
    <mergeCell ref="C8:X8"/>
    <mergeCell ref="V14:AF17"/>
    <mergeCell ref="A12:D12"/>
    <mergeCell ref="A39:K39"/>
    <mergeCell ref="A40:A43"/>
    <mergeCell ref="B40:F40"/>
    <mergeCell ref="L40:P43"/>
    <mergeCell ref="Q40:R43"/>
    <mergeCell ref="S40:S43"/>
    <mergeCell ref="T40:U43"/>
    <mergeCell ref="V40:AF43"/>
    <mergeCell ref="D41:E41"/>
    <mergeCell ref="G41:K41"/>
    <mergeCell ref="B42:F42"/>
    <mergeCell ref="A38:D38"/>
    <mergeCell ref="A26:A29"/>
    <mergeCell ref="B30:F30"/>
    <mergeCell ref="G30:K30"/>
    <mergeCell ref="L30:P33"/>
    <mergeCell ref="Q30:R33"/>
    <mergeCell ref="C25:D25"/>
    <mergeCell ref="A30:A33"/>
    <mergeCell ref="B26:F26"/>
    <mergeCell ref="L26:P29"/>
    <mergeCell ref="Q26:R29"/>
    <mergeCell ref="S26:S29"/>
    <mergeCell ref="T26:U29"/>
    <mergeCell ref="V26:AF29"/>
    <mergeCell ref="D27:E27"/>
    <mergeCell ref="G27:K27"/>
    <mergeCell ref="B28:F28"/>
    <mergeCell ref="G28:K28"/>
    <mergeCell ref="C29:D29"/>
    <mergeCell ref="E29:F29"/>
    <mergeCell ref="H29:I29"/>
    <mergeCell ref="J29:K29"/>
    <mergeCell ref="G26:K26"/>
    <mergeCell ref="C21:D21"/>
    <mergeCell ref="V18:AF21"/>
    <mergeCell ref="V13:AF13"/>
    <mergeCell ref="B22:F22"/>
    <mergeCell ref="G22:K22"/>
    <mergeCell ref="L22:P25"/>
    <mergeCell ref="Q22:R25"/>
    <mergeCell ref="S22:S25"/>
    <mergeCell ref="T22:U25"/>
    <mergeCell ref="V22:AF25"/>
    <mergeCell ref="D23:E23"/>
    <mergeCell ref="G23:K23"/>
    <mergeCell ref="B24:F24"/>
    <mergeCell ref="G24:K24"/>
    <mergeCell ref="E25:F25"/>
    <mergeCell ref="Q18:R21"/>
    <mergeCell ref="S18:S21"/>
    <mergeCell ref="T18:U21"/>
    <mergeCell ref="Q13:R13"/>
    <mergeCell ref="T13:U13"/>
    <mergeCell ref="Q14:R17"/>
    <mergeCell ref="S14:S17"/>
    <mergeCell ref="T14:U17"/>
    <mergeCell ref="E21:F21"/>
    <mergeCell ref="C6:X6"/>
    <mergeCell ref="A14:A17"/>
    <mergeCell ref="A18:A21"/>
    <mergeCell ref="A22:A25"/>
    <mergeCell ref="A13:K13"/>
    <mergeCell ref="B18:F18"/>
    <mergeCell ref="D19:E19"/>
    <mergeCell ref="G19:K19"/>
    <mergeCell ref="B20:F20"/>
    <mergeCell ref="L18:P21"/>
    <mergeCell ref="L13:P13"/>
    <mergeCell ref="G15:K15"/>
    <mergeCell ref="C17:D17"/>
    <mergeCell ref="E17:F17"/>
    <mergeCell ref="B14:F14"/>
    <mergeCell ref="G14:K14"/>
    <mergeCell ref="B16:F16"/>
    <mergeCell ref="G16:K16"/>
    <mergeCell ref="L14:P17"/>
    <mergeCell ref="D15:E15"/>
    <mergeCell ref="G18:K18"/>
    <mergeCell ref="H17:I17"/>
    <mergeCell ref="J17:K17"/>
    <mergeCell ref="H25:I25"/>
    <mergeCell ref="AG1:BK2"/>
    <mergeCell ref="AV10:AW10"/>
    <mergeCell ref="AV11:AX11"/>
    <mergeCell ref="V39:AF39"/>
    <mergeCell ref="Q36:R36"/>
    <mergeCell ref="AG14:AG17"/>
    <mergeCell ref="AH14:AL14"/>
    <mergeCell ref="AM14:AQ14"/>
    <mergeCell ref="AR14:AV17"/>
    <mergeCell ref="AW14:AX17"/>
    <mergeCell ref="AY14:AY17"/>
    <mergeCell ref="AZ14:BA17"/>
    <mergeCell ref="BB14:BL17"/>
    <mergeCell ref="AJ19:AK19"/>
    <mergeCell ref="T39:U39"/>
    <mergeCell ref="Q37:S37"/>
    <mergeCell ref="B1:AF2"/>
    <mergeCell ref="B10:P11"/>
    <mergeCell ref="Q10:R10"/>
    <mergeCell ref="Q11:S11"/>
    <mergeCell ref="Q12:R12"/>
    <mergeCell ref="T12:AF12"/>
    <mergeCell ref="C4:X4"/>
    <mergeCell ref="C5:X5"/>
    <mergeCell ref="L39:P39"/>
    <mergeCell ref="Q39:R39"/>
    <mergeCell ref="Q38:R38"/>
    <mergeCell ref="AJ41:AK41"/>
    <mergeCell ref="AG40:AG43"/>
    <mergeCell ref="AH40:AL40"/>
    <mergeCell ref="AM40:AQ40"/>
    <mergeCell ref="AR40:AV43"/>
    <mergeCell ref="AW40:AX43"/>
    <mergeCell ref="T38:AF38"/>
    <mergeCell ref="AH54:AL54"/>
    <mergeCell ref="AM54:AQ54"/>
    <mergeCell ref="AY40:AY43"/>
    <mergeCell ref="AZ40:BA43"/>
    <mergeCell ref="BB40:BL43"/>
    <mergeCell ref="AM41:AQ41"/>
    <mergeCell ref="AH42:AL42"/>
    <mergeCell ref="AM42:AQ42"/>
    <mergeCell ref="AI43:AJ43"/>
    <mergeCell ref="AK43:AL43"/>
    <mergeCell ref="AN43:AO43"/>
    <mergeCell ref="AP43:AQ43"/>
    <mergeCell ref="AG52:AG55"/>
    <mergeCell ref="AI55:AJ55"/>
    <mergeCell ref="AK55:AL55"/>
    <mergeCell ref="AN55:AO55"/>
    <mergeCell ref="AP55:AQ55"/>
    <mergeCell ref="AG56:AG59"/>
    <mergeCell ref="BI60:BI61"/>
    <mergeCell ref="BK60:BK61"/>
    <mergeCell ref="AG60:AU61"/>
    <mergeCell ref="AW60:AW61"/>
    <mergeCell ref="AY60:AY61"/>
    <mergeCell ref="BA60:BA61"/>
    <mergeCell ref="BC60:BC61"/>
    <mergeCell ref="BE60:BE61"/>
    <mergeCell ref="BG60:BG61"/>
    <mergeCell ref="AJ53:AK53"/>
    <mergeCell ref="AH52:AL52"/>
    <mergeCell ref="AM52:AQ52"/>
    <mergeCell ref="AR52:AV55"/>
    <mergeCell ref="AW52:AX55"/>
    <mergeCell ref="AY52:AY55"/>
    <mergeCell ref="AZ52:BA55"/>
    <mergeCell ref="BB52:BL55"/>
    <mergeCell ref="AM53:AQ53"/>
    <mergeCell ref="G20:K20"/>
    <mergeCell ref="J25:K25"/>
    <mergeCell ref="H21:I21"/>
    <mergeCell ref="J21:K21"/>
    <mergeCell ref="C51:D51"/>
    <mergeCell ref="E51:F51"/>
    <mergeCell ref="E55:F55"/>
    <mergeCell ref="C59:D59"/>
    <mergeCell ref="E59:F59"/>
    <mergeCell ref="G46:K46"/>
    <mergeCell ref="G42:K42"/>
    <mergeCell ref="C43:D43"/>
    <mergeCell ref="E43:F43"/>
    <mergeCell ref="C47:D47"/>
    <mergeCell ref="C55:D55"/>
    <mergeCell ref="E47:F47"/>
    <mergeCell ref="G58:K58"/>
    <mergeCell ref="H59:I59"/>
    <mergeCell ref="J59:K59"/>
    <mergeCell ref="G56:K56"/>
    <mergeCell ref="G40:K40"/>
    <mergeCell ref="H43:I43"/>
    <mergeCell ref="J43:K43"/>
    <mergeCell ref="G44:K44"/>
  </mergeCells>
  <phoneticPr fontId="8"/>
  <conditionalFormatting sqref="B61:D61 B63:C63 E63 F61:K61 G62 B62 L64 Q64 S64">
    <cfRule type="cellIs" dxfId="57" priority="68" stopIfTrue="1" operator="equal">
      <formula>""</formula>
    </cfRule>
  </conditionalFormatting>
  <conditionalFormatting sqref="T64">
    <cfRule type="cellIs" dxfId="56" priority="67" stopIfTrue="1" operator="equal">
      <formula>""</formula>
    </cfRule>
  </conditionalFormatting>
  <conditionalFormatting sqref="L68 Q68 S68">
    <cfRule type="cellIs" dxfId="55" priority="66" stopIfTrue="1" operator="equal">
      <formula>""</formula>
    </cfRule>
  </conditionalFormatting>
  <conditionalFormatting sqref="T68">
    <cfRule type="cellIs" dxfId="54" priority="65" stopIfTrue="1" operator="equal">
      <formula>""</formula>
    </cfRule>
  </conditionalFormatting>
  <conditionalFormatting sqref="L72 Q72 S72">
    <cfRule type="cellIs" dxfId="53" priority="64" stopIfTrue="1" operator="equal">
      <formula>""</formula>
    </cfRule>
  </conditionalFormatting>
  <conditionalFormatting sqref="T72">
    <cfRule type="cellIs" dxfId="52" priority="63" stopIfTrue="1" operator="equal">
      <formula>""</formula>
    </cfRule>
  </conditionalFormatting>
  <conditionalFormatting sqref="L76 Q76 S76">
    <cfRule type="cellIs" dxfId="51" priority="62" stopIfTrue="1" operator="equal">
      <formula>""</formula>
    </cfRule>
  </conditionalFormatting>
  <conditionalFormatting sqref="T76">
    <cfRule type="cellIs" dxfId="50" priority="61" stopIfTrue="1" operator="equal">
      <formula>""</formula>
    </cfRule>
  </conditionalFormatting>
  <conditionalFormatting sqref="G63:H63 J63">
    <cfRule type="cellIs" dxfId="49" priority="56" stopIfTrue="1" operator="equal">
      <formula>""</formula>
    </cfRule>
  </conditionalFormatting>
  <conditionalFormatting sqref="B65:D65 B67:C67 E67 F65:K65 G66 B66">
    <cfRule type="cellIs" dxfId="48" priority="55" stopIfTrue="1" operator="equal">
      <formula>""</formula>
    </cfRule>
  </conditionalFormatting>
  <conditionalFormatting sqref="G67:H67 J67">
    <cfRule type="cellIs" dxfId="47" priority="54" stopIfTrue="1" operator="equal">
      <formula>""</formula>
    </cfRule>
  </conditionalFormatting>
  <conditionalFormatting sqref="B69:D69 B71:C71 E71 F69:K69 G70 B70">
    <cfRule type="cellIs" dxfId="46" priority="53" stopIfTrue="1" operator="equal">
      <formula>""</formula>
    </cfRule>
  </conditionalFormatting>
  <conditionalFormatting sqref="G71:H71 J71">
    <cfRule type="cellIs" dxfId="45" priority="52" stopIfTrue="1" operator="equal">
      <formula>""</formula>
    </cfRule>
  </conditionalFormatting>
  <conditionalFormatting sqref="B73:D73 B75:C75 E75 F73:K73 G74 B74">
    <cfRule type="cellIs" dxfId="44" priority="51" stopIfTrue="1" operator="equal">
      <formula>""</formula>
    </cfRule>
  </conditionalFormatting>
  <conditionalFormatting sqref="G75:H75 J75">
    <cfRule type="cellIs" dxfId="43" priority="50" stopIfTrue="1" operator="equal">
      <formula>""</formula>
    </cfRule>
  </conditionalFormatting>
  <conditionalFormatting sqref="B77:D77 B79:C79 E79 F77:K77 G78 B78">
    <cfRule type="cellIs" dxfId="42" priority="49" stopIfTrue="1" operator="equal">
      <formula>""</formula>
    </cfRule>
  </conditionalFormatting>
  <conditionalFormatting sqref="G79:H79 J79">
    <cfRule type="cellIs" dxfId="41" priority="48" stopIfTrue="1" operator="equal">
      <formula>""</formula>
    </cfRule>
  </conditionalFormatting>
  <conditionalFormatting sqref="B40:S40 B44:S44 L43:S43 B48:S48 L47:S47 B52:S52 L51:S51 B56:S56 L55:S55 L59:S59 V40:AF59 B42:S42 B41:F41 L41:S41 B46:S46 B45:F45 L45:S45 B50:S50 B49:F49 L49:S49 B54:S54 B53:F53 L53:S53 B58:S58 B57:F57 L57:S57">
    <cfRule type="containsBlanks" dxfId="40" priority="47">
      <formula>LEN(TRIM(B40))=0</formula>
    </cfRule>
  </conditionalFormatting>
  <conditionalFormatting sqref="V14:AF33 B14:S33">
    <cfRule type="containsBlanks" dxfId="39" priority="46">
      <formula>LEN(TRIM(B14))=0</formula>
    </cfRule>
  </conditionalFormatting>
  <conditionalFormatting sqref="AH14:AY16 AH22:AY24 AR21:AY21 AH26:AY28 AR25:AY25 AH30:AY32 AR29:AY29 AR33:AY33 AH18:AY20 AH17:AO17 AR17:AY17 BB14:BL33">
    <cfRule type="containsBlanks" dxfId="38" priority="45">
      <formula>LEN(TRIM(AH14))=0</formula>
    </cfRule>
  </conditionalFormatting>
  <conditionalFormatting sqref="AH48:AY50 AH52:AY54 AR51:AY51 AH56:AY58 AR55:AY55 AR59:AY59 BB40:BL59">
    <cfRule type="containsBlanks" dxfId="37" priority="44">
      <formula>LEN(TRIM(AH40))=0</formula>
    </cfRule>
  </conditionalFormatting>
  <conditionalFormatting sqref="B43:K43">
    <cfRule type="containsBlanks" dxfId="36" priority="43">
      <formula>LEN(TRIM(B43))=0</formula>
    </cfRule>
  </conditionalFormatting>
  <conditionalFormatting sqref="B47:K47">
    <cfRule type="containsBlanks" dxfId="35" priority="42">
      <formula>LEN(TRIM(B47))=0</formula>
    </cfRule>
  </conditionalFormatting>
  <conditionalFormatting sqref="B51:K51">
    <cfRule type="containsBlanks" dxfId="34" priority="41">
      <formula>LEN(TRIM(B51))=0</formula>
    </cfRule>
  </conditionalFormatting>
  <conditionalFormatting sqref="B55:K55">
    <cfRule type="containsBlanks" dxfId="33" priority="40">
      <formula>LEN(TRIM(B55))=0</formula>
    </cfRule>
  </conditionalFormatting>
  <conditionalFormatting sqref="B59:K59">
    <cfRule type="containsBlanks" dxfId="32" priority="39">
      <formula>LEN(TRIM(B59))=0</formula>
    </cfRule>
  </conditionalFormatting>
  <conditionalFormatting sqref="AH21:AQ21">
    <cfRule type="containsBlanks" dxfId="31" priority="38">
      <formula>LEN(TRIM(AH21))=0</formula>
    </cfRule>
  </conditionalFormatting>
  <conditionalFormatting sqref="AH25:AQ25">
    <cfRule type="containsBlanks" dxfId="30" priority="37">
      <formula>LEN(TRIM(AH25))=0</formula>
    </cfRule>
  </conditionalFormatting>
  <conditionalFormatting sqref="AH29:AQ29">
    <cfRule type="containsBlanks" dxfId="29" priority="36">
      <formula>LEN(TRIM(AH29))=0</formula>
    </cfRule>
  </conditionalFormatting>
  <conditionalFormatting sqref="AH33:AQ33">
    <cfRule type="containsBlanks" dxfId="28" priority="35">
      <formula>LEN(TRIM(AH33))=0</formula>
    </cfRule>
  </conditionalFormatting>
  <conditionalFormatting sqref="AH59:AQ59">
    <cfRule type="containsBlanks" dxfId="27" priority="30">
      <formula>LEN(TRIM(AH59))=0</formula>
    </cfRule>
  </conditionalFormatting>
  <conditionalFormatting sqref="AH51:AQ51">
    <cfRule type="containsBlanks" dxfId="26" priority="32">
      <formula>LEN(TRIM(AH51))=0</formula>
    </cfRule>
  </conditionalFormatting>
  <conditionalFormatting sqref="AH55:AQ55">
    <cfRule type="containsBlanks" dxfId="25" priority="31">
      <formula>LEN(TRIM(AH55))=0</formula>
    </cfRule>
  </conditionalFormatting>
  <conditionalFormatting sqref="AP17:AQ17">
    <cfRule type="containsBlanks" dxfId="24" priority="29">
      <formula>LEN(TRIM(AP17))=0</formula>
    </cfRule>
  </conditionalFormatting>
  <conditionalFormatting sqref="AZ48:BA59">
    <cfRule type="containsBlanks" dxfId="23" priority="13">
      <formula>LEN(TRIM(AZ48))=0</formula>
    </cfRule>
  </conditionalFormatting>
  <conditionalFormatting sqref="AH40:AY42 AH43:AO43 AR43:AY43">
    <cfRule type="containsBlanks" dxfId="22" priority="12">
      <formula>LEN(TRIM(AH40))=0</formula>
    </cfRule>
  </conditionalFormatting>
  <conditionalFormatting sqref="T14:U17">
    <cfRule type="containsBlanks" dxfId="21" priority="26">
      <formula>LEN(TRIM(T14))=0</formula>
    </cfRule>
  </conditionalFormatting>
  <conditionalFormatting sqref="AH47:AQ47">
    <cfRule type="containsBlanks" dxfId="20" priority="8">
      <formula>LEN(TRIM(AH47))=0</formula>
    </cfRule>
  </conditionalFormatting>
  <conditionalFormatting sqref="T18:U21">
    <cfRule type="containsBlanks" dxfId="19" priority="23">
      <formula>LEN(TRIM(T18))=0</formula>
    </cfRule>
  </conditionalFormatting>
  <conditionalFormatting sqref="T22:U33">
    <cfRule type="containsBlanks" dxfId="18" priority="22">
      <formula>LEN(TRIM(T22))=0</formula>
    </cfRule>
  </conditionalFormatting>
  <conditionalFormatting sqref="AZ14:BA17">
    <cfRule type="containsBlanks" dxfId="17" priority="21">
      <formula>LEN(TRIM(AZ14))=0</formula>
    </cfRule>
  </conditionalFormatting>
  <conditionalFormatting sqref="AZ18:BA21">
    <cfRule type="containsBlanks" dxfId="16" priority="20">
      <formula>LEN(TRIM(AZ18))=0</formula>
    </cfRule>
  </conditionalFormatting>
  <conditionalFormatting sqref="AZ22:BA33">
    <cfRule type="containsBlanks" dxfId="15" priority="19">
      <formula>LEN(TRIM(AZ22))=0</formula>
    </cfRule>
  </conditionalFormatting>
  <conditionalFormatting sqref="T40:U43">
    <cfRule type="containsBlanks" dxfId="14" priority="18">
      <formula>LEN(TRIM(T40))=0</formula>
    </cfRule>
  </conditionalFormatting>
  <conditionalFormatting sqref="T44:U47">
    <cfRule type="containsBlanks" dxfId="13" priority="17">
      <formula>LEN(TRIM(T44))=0</formula>
    </cfRule>
  </conditionalFormatting>
  <conditionalFormatting sqref="T48:U59">
    <cfRule type="containsBlanks" dxfId="12" priority="16">
      <formula>LEN(TRIM(T48))=0</formula>
    </cfRule>
  </conditionalFormatting>
  <conditionalFormatting sqref="AH44:AY46 AR47:AY47">
    <cfRule type="containsBlanks" dxfId="11" priority="9">
      <formula>LEN(TRIM(AH44))=0</formula>
    </cfRule>
  </conditionalFormatting>
  <conditionalFormatting sqref="AP43:AQ43">
    <cfRule type="containsBlanks" dxfId="10" priority="11">
      <formula>LEN(TRIM(AP43))=0</formula>
    </cfRule>
  </conditionalFormatting>
  <conditionalFormatting sqref="AZ40:BA43">
    <cfRule type="containsBlanks" dxfId="9" priority="10">
      <formula>LEN(TRIM(AZ40))=0</formula>
    </cfRule>
  </conditionalFormatting>
  <conditionalFormatting sqref="AZ44:BA47">
    <cfRule type="containsBlanks" dxfId="8" priority="7">
      <formula>LEN(TRIM(AZ44))=0</formula>
    </cfRule>
  </conditionalFormatting>
  <conditionalFormatting sqref="G41:K41">
    <cfRule type="containsBlanks" dxfId="7" priority="6">
      <formula>LEN(TRIM(G41))=0</formula>
    </cfRule>
  </conditionalFormatting>
  <conditionalFormatting sqref="G45:K45">
    <cfRule type="containsBlanks" dxfId="6" priority="5">
      <formula>LEN(TRIM(G45))=0</formula>
    </cfRule>
  </conditionalFormatting>
  <conditionalFormatting sqref="G49:K49">
    <cfRule type="containsBlanks" dxfId="5" priority="4">
      <formula>LEN(TRIM(G49))=0</formula>
    </cfRule>
  </conditionalFormatting>
  <conditionalFormatting sqref="G53:K53">
    <cfRule type="containsBlanks" dxfId="4" priority="3">
      <formula>LEN(TRIM(G53))=0</formula>
    </cfRule>
  </conditionalFormatting>
  <conditionalFormatting sqref="G57:K57">
    <cfRule type="containsBlanks" dxfId="3" priority="2">
      <formula>LEN(TRIM(G57))=0</formula>
    </cfRule>
  </conditionalFormatting>
  <conditionalFormatting sqref="B10:P11">
    <cfRule type="containsBlanks" dxfId="2" priority="1">
      <formula>LEN(TRIM(B10))=0</formula>
    </cfRule>
  </conditionalFormatting>
  <dataValidations count="12">
    <dataValidation type="list" allowBlank="1" showInputMessage="1" showErrorMessage="1" sqref="Q72 Q14 AW30 Q18 Q22 Q26 Q30 Q56 Q40 Q44 Q48 Q52 Q76 Q60 Q64 Q68 AW14 AW18 AW22 AW26 AW56 AW52 AW40 AW48 AW44" xr:uid="{00000000-0002-0000-0B00-000000000000}">
      <formula1>"大型バス,マイクロバス,乗用車,トラック,二輪車（原動付自転車含む）,その他"</formula1>
    </dataValidation>
    <dataValidation type="list" allowBlank="1" showInputMessage="1" showErrorMessage="1" sqref="S72 S22 S18 S14 S26 S30 S56 S48 S44 S40 S52 S76 S68 S64 S60 AY22 AY18 AY14 AY26 AY30 AY56 AY48 AY40 AY52 AY44" xr:uid="{00000000-0002-0000-0B00-000001000000}">
      <formula1>$BN$7:$BN$34</formula1>
    </dataValidation>
    <dataValidation type="list" allowBlank="1" showInputMessage="1" showErrorMessage="1" sqref="T72 T64 T68 T76 T60" xr:uid="{00000000-0002-0000-0B00-000002000000}">
      <formula1>"山の家・入口,南駐車場,東口駐車場　(有料),東口駐車場　（送迎）,中央口駐車場(有料),中央口駐車場（送迎）,渓流口駐車場(有料),渓流口駐車場（送迎）"</formula1>
    </dataValidation>
    <dataValidation type="list" allowBlank="1" showInputMessage="1" showErrorMessage="1" sqref="B77 B61 B65 B57 B69 B41 B45 B49 B53 AH15 AH19 B15 B19 B23 B27 B31 B73 AH23 AH27 AH31 AH57 AH53 AH41 AH49 AH45" xr:uid="{00000000-0002-0000-0B00-000003000000}">
      <formula1>$BN$7:$BN$18</formula1>
    </dataValidation>
    <dataValidation type="list" allowBlank="1" showInputMessage="1" showErrorMessage="1" sqref="AM45:AQ45 AM31:AQ31 AM53:AQ53 AM49:AQ49 AM23:AQ23 AM19:AQ19 G77:K77 AM27:AQ27 AM57:AQ57 G69:K69 G61:K61 G73:K73 G65:K65" xr:uid="{00000000-0002-0000-0B00-000004000000}">
      <formula1>"宿泊,日帰り,日帰り（補助的指導者）,送迎"</formula1>
    </dataValidation>
    <dataValidation type="list" allowBlank="1" showInputMessage="1" showErrorMessage="1" sqref="E67:F67 E71:F71 E63:F63 J63:K63 E79:F79 J79:K79 AK17:AL17 J67:K67 E75:F75 J71:K71 J75:K75 AK43:AL43" xr:uid="{00000000-0002-0000-0B00-000005000000}">
      <formula1>$BO$7:$BO$16</formula1>
    </dataValidation>
    <dataValidation type="list" allowBlank="1" showInputMessage="1" showErrorMessage="1" sqref="D15:E15 D19:E19 D23:E23 D27:E27 D31:E31 D41:E41 D45:E45 D49:E49 D53:E53 D57:E57 D61:E61 D65:E65 D69:E69 D73:E73 D77:E77 AJ15:AK15 AJ19:AK19 AJ23:AK23 AJ27:AK27 AJ31:AK31 AJ57:AK57 AJ41:AK41 AJ49:AK49 AJ53:AK53 AJ45:AK45" xr:uid="{00000000-0002-0000-0B00-000006000000}">
      <formula1>$BN$7:$BN$37</formula1>
    </dataValidation>
    <dataValidation type="list" allowBlank="1" showInputMessage="1" showErrorMessage="1" sqref="B17 G17 AH55 AM55 B21 G21 B25 G25 B29 G29 B33 G33 B43 G43 B47 G47 B51 G51 B55 G55 B63 G63 B67 G67 B71 G71 B75 G75 B79 G79 AH17 AM17 B59 G59 AH21 AM21 AH25 AM25 AH29 AM29 AH33 AM33 AH59 AM59 AH43 AM43 AH51 AM51 AH47 AM47" xr:uid="{00000000-0002-0000-0B00-000007000000}">
      <formula1>$BN$13:$BN$28</formula1>
    </dataValidation>
    <dataValidation type="list" allowBlank="1" showInputMessage="1" showErrorMessage="1" sqref="AM15:AQ15 AM41:AQ41" xr:uid="{00000000-0002-0000-0B00-000008000000}">
      <formula1>$BM$11:$BM$14</formula1>
    </dataValidation>
    <dataValidation type="list" allowBlank="1" showInputMessage="1" showErrorMessage="1" sqref="E17:F17 J17:K17 E21:F21 J21:K21 E25:F25 J25:K25 E29:F29 J29:K29 E33:F33 J33:K33 E43:F43 J43:K43 E47:F47 J47:K47 E51:F51 J51:K51 E55:F55 J55:K55 E59:F59 J59:K59 AK21:AL21 AP21:AQ21 AK25:AL25 AP25:AQ25 AK29:AL29 AP29:AQ29 AK33:AL33 AP33:AQ33 AP59:AQ59 AP17:AQ17 AK59:AL59 AP43:AQ43 AK51:AL51 AP51:AQ51 AK55:AL55 AP55:AQ55 AK47:AL47 AP47:AQ47" xr:uid="{00000000-0002-0000-0B00-000009000000}">
      <formula1>$BO$7:$BO$18</formula1>
    </dataValidation>
    <dataValidation type="list" allowBlank="1" showInputMessage="1" showErrorMessage="1" sqref="T14:U33 AZ14:BA33 T40:U59 AZ40:BA59" xr:uid="{00000000-0002-0000-0B00-00000A000000}">
      <formula1>"山の家・入口,南駐車場,南第二駐車場※補助限定,東口駐車場　（送迎）,中央口駐車場(有料),中央口駐車場（送迎）,渓流口駐車場(有料),渓流口駐車場（送迎）"</formula1>
    </dataValidation>
    <dataValidation type="list" allowBlank="1" showInputMessage="1" showErrorMessage="1" sqref="G15:K15 G19:K19 G23:K23 G27:K27 G31:K31 G41:K41 G45:K45 G49:K49 G53:K53 G57:K57" xr:uid="{1B848E04-D0F2-4C73-AED4-982D52EF54A4}">
      <formula1>"宿泊,日帰り,送迎"</formula1>
    </dataValidation>
  </dataValidations>
  <printOptions horizontalCentered="1"/>
  <pageMargins left="0.39370078740157483" right="0.39370078740157483" top="0.39370078740157483" bottom="0.39370078740157483" header="0" footer="0"/>
  <pageSetup paperSize="9" scale="76" orientation="landscape" r:id="rId1"/>
  <headerFooter>
    <oddHeader>&amp;R&amp;"ＭＳ 明朝,標準"&amp;8&amp;D 　&amp;T</oddHeader>
  </headerFooter>
  <rowBreaks count="1" manualBreakCount="1">
    <brk id="35" max="63" man="1"/>
  </rowBreaks>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※必ずはじめにお読みください※</vt:lpstr>
      <vt:lpstr>01 使用承認申請書</vt:lpstr>
      <vt:lpstr>02 利用計画書</vt:lpstr>
      <vt:lpstr>03 食事申込書</vt:lpstr>
      <vt:lpstr>04 食物アレルギー確認書</vt:lpstr>
      <vt:lpstr>05 利用者名簿</vt:lpstr>
      <vt:lpstr>06　人数報告用紙</vt:lpstr>
      <vt:lpstr>07 使用料減免申請書</vt:lpstr>
      <vt:lpstr>08 車両動向報告書</vt:lpstr>
      <vt:lpstr>09 利用日変更（取消）報告書</vt:lpstr>
      <vt:lpstr>※必ずはじめにお読みください※!Print_Area</vt:lpstr>
      <vt:lpstr>'01 使用承認申請書'!Print_Area</vt:lpstr>
      <vt:lpstr>'02 利用計画書'!Print_Area</vt:lpstr>
      <vt:lpstr>'03 食事申込書'!Print_Area</vt:lpstr>
      <vt:lpstr>'04 食物アレルギー確認書'!Print_Area</vt:lpstr>
      <vt:lpstr>'05 利用者名簿'!Print_Area</vt:lpstr>
      <vt:lpstr>'06　人数報告用紙'!Print_Area</vt:lpstr>
      <vt:lpstr>'07 使用料減免申請書'!Print_Area</vt:lpstr>
      <vt:lpstr>'08 車両動向報告書'!Print_Area</vt:lpstr>
      <vt:lpstr>'09 利用日変更（取消）報告書'!Print_Area</vt:lpstr>
      <vt:lpstr>一</vt:lpstr>
      <vt:lpstr>引</vt:lpstr>
      <vt:lpstr>携帯食</vt:lpstr>
      <vt:lpstr>時機</vt:lpstr>
      <vt:lpstr>小</vt:lpstr>
      <vt:lpstr>食事時機</vt:lpstr>
      <vt:lpstr>食堂</vt:lpstr>
      <vt:lpstr>炊事</vt:lpstr>
      <vt:lpstr>中</vt:lpstr>
      <vt:lpstr>通常食</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user04</cp:lastModifiedBy>
  <cp:lastPrinted>2021-03-26T02:03:00Z</cp:lastPrinted>
  <dcterms:created xsi:type="dcterms:W3CDTF">2011-11-13T05:32:05Z</dcterms:created>
  <dcterms:modified xsi:type="dcterms:W3CDTF">2021-04-14T07:49:55Z</dcterms:modified>
</cp:coreProperties>
</file>